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Universal_App\src\test\resources\"/>
    </mc:Choice>
  </mc:AlternateContent>
  <xr:revisionPtr revIDLastSave="0" documentId="13_ncr:1_{11B4417E-81BC-4C7D-93D7-2B02C9AEB4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Financiar" sheetId="1" r:id="rId1"/>
    <sheet name="Earnings_summary" sheetId="2" r:id="rId2"/>
    <sheet name="Intrisec_values" sheetId="3" state="hidden" r:id="rId3"/>
    <sheet name="Year - ROI" sheetId="4" r:id="rId4"/>
    <sheet name="Divident_all" sheetId="5" r:id="rId5"/>
    <sheet name="Divident_special" sheetId="6" r:id="rId6"/>
    <sheet name="Februarie_DI" sheetId="7" state="hidden" r:id="rId7"/>
    <sheet name="Ianuarie_DI" sheetId="8" state="hidden" r:id="rId8"/>
    <sheet name="2023" sheetId="9" r:id="rId9"/>
    <sheet name="Q_investment" sheetId="10" r:id="rId10"/>
    <sheet name="Martie_DI" sheetId="11" state="hidden" r:id="rId11"/>
    <sheet name="Aprilie_DI" sheetId="12" r:id="rId12"/>
    <sheet name="May_DI" sheetId="13" state="hidden" r:id="rId13"/>
    <sheet name="Iunie_DI" sheetId="14" state="hidden" r:id="rId14"/>
    <sheet name="Iulie_DI" sheetId="15" state="hidden" r:id="rId15"/>
    <sheet name="August_DI" sheetId="16" state="hidden" r:id="rId16"/>
    <sheet name="Septembrie_DI" sheetId="17" state="hidden" r:id="rId17"/>
    <sheet name="Octombrie_DI" sheetId="18" state="hidden" r:id="rId18"/>
    <sheet name="Noiembrie_DI" sheetId="19" state="hidden" r:id="rId19"/>
    <sheet name="Decembrie_DI" sheetId="20" state="hidden" r:id="rId20"/>
    <sheet name="2022" sheetId="21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1" l="1"/>
  <c r="E98" i="21"/>
  <c r="F97" i="21"/>
  <c r="E97" i="21"/>
  <c r="F96" i="21"/>
  <c r="E96" i="21"/>
  <c r="F95" i="21"/>
  <c r="E94" i="21"/>
  <c r="F94" i="21" s="1"/>
  <c r="B59" i="4" s="1"/>
  <c r="E93" i="21"/>
  <c r="F93" i="21" s="1"/>
  <c r="E92" i="21"/>
  <c r="F92" i="21" s="1"/>
  <c r="E91" i="21"/>
  <c r="F91" i="21" s="1"/>
  <c r="E90" i="21"/>
  <c r="F90" i="21" s="1"/>
  <c r="B55" i="4" s="1"/>
  <c r="E89" i="21"/>
  <c r="F89" i="21" s="1"/>
  <c r="E88" i="21"/>
  <c r="F88" i="21" s="1"/>
  <c r="E87" i="21"/>
  <c r="F87" i="21" s="1"/>
  <c r="E86" i="21"/>
  <c r="F86" i="21" s="1"/>
  <c r="B51" i="4" s="1"/>
  <c r="E85" i="21"/>
  <c r="F85" i="21" s="1"/>
  <c r="E84" i="21"/>
  <c r="F84" i="21" s="1"/>
  <c r="E83" i="21"/>
  <c r="D83" i="21"/>
  <c r="F83" i="21" s="1"/>
  <c r="B48" i="4" s="1"/>
  <c r="F82" i="21"/>
  <c r="E82" i="21"/>
  <c r="F81" i="21"/>
  <c r="E81" i="21"/>
  <c r="F80" i="21"/>
  <c r="E80" i="21"/>
  <c r="D80" i="21"/>
  <c r="E79" i="21"/>
  <c r="F79" i="21" s="1"/>
  <c r="B44" i="4" s="1"/>
  <c r="E78" i="21"/>
  <c r="F78" i="21" s="1"/>
  <c r="E77" i="21"/>
  <c r="F77" i="21" s="1"/>
  <c r="E76" i="21"/>
  <c r="D76" i="21"/>
  <c r="F76" i="21" s="1"/>
  <c r="B41" i="4" s="1"/>
  <c r="F75" i="21"/>
  <c r="E74" i="21"/>
  <c r="D74" i="21"/>
  <c r="F74" i="21" s="1"/>
  <c r="F73" i="21"/>
  <c r="E73" i="21"/>
  <c r="F72" i="21"/>
  <c r="E72" i="21"/>
  <c r="F71" i="21"/>
  <c r="E71" i="21"/>
  <c r="F70" i="21"/>
  <c r="E70" i="21"/>
  <c r="F69" i="21"/>
  <c r="E69" i="21"/>
  <c r="F68" i="21"/>
  <c r="E68" i="21"/>
  <c r="F67" i="21"/>
  <c r="E67" i="21"/>
  <c r="D67" i="21"/>
  <c r="E66" i="21"/>
  <c r="F66" i="21" s="1"/>
  <c r="E65" i="21"/>
  <c r="F65" i="21" s="1"/>
  <c r="B30" i="4" s="1"/>
  <c r="F64" i="21"/>
  <c r="F63" i="21"/>
  <c r="E63" i="21"/>
  <c r="F62" i="21"/>
  <c r="E62" i="21"/>
  <c r="F61" i="21"/>
  <c r="E60" i="21"/>
  <c r="D60" i="21"/>
  <c r="F60" i="21" s="1"/>
  <c r="B25" i="4" s="1"/>
  <c r="F59" i="21"/>
  <c r="E59" i="21"/>
  <c r="F58" i="21"/>
  <c r="E58" i="21"/>
  <c r="F57" i="21"/>
  <c r="E57" i="21"/>
  <c r="F56" i="21"/>
  <c r="E56" i="21"/>
  <c r="F55" i="21"/>
  <c r="E55" i="21"/>
  <c r="E54" i="21"/>
  <c r="D54" i="21"/>
  <c r="F54" i="21" s="1"/>
  <c r="B19" i="4" s="1"/>
  <c r="F53" i="21"/>
  <c r="F52" i="21"/>
  <c r="E52" i="21"/>
  <c r="F51" i="21"/>
  <c r="E50" i="21"/>
  <c r="F50" i="21" s="1"/>
  <c r="E49" i="21"/>
  <c r="F49" i="21" s="1"/>
  <c r="D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B8" i="4" s="1"/>
  <c r="E42" i="21"/>
  <c r="F42" i="21" s="1"/>
  <c r="D42" i="21"/>
  <c r="F41" i="21"/>
  <c r="E41" i="21"/>
  <c r="D41" i="21"/>
  <c r="E40" i="21"/>
  <c r="F40" i="21" s="1"/>
  <c r="F39" i="21"/>
  <c r="E38" i="21"/>
  <c r="D38" i="21"/>
  <c r="F38" i="21" s="1"/>
  <c r="E37" i="21"/>
  <c r="F37" i="21" s="1"/>
  <c r="D37" i="21"/>
  <c r="N33" i="21"/>
  <c r="M33" i="21"/>
  <c r="N32" i="21"/>
  <c r="M32" i="21"/>
  <c r="P31" i="21"/>
  <c r="N31" i="21"/>
  <c r="M31" i="21"/>
  <c r="L31" i="21"/>
  <c r="H31" i="21"/>
  <c r="D31" i="21"/>
  <c r="N30" i="21"/>
  <c r="M30" i="21"/>
  <c r="N29" i="21"/>
  <c r="M29" i="21"/>
  <c r="N28" i="21"/>
  <c r="M28" i="21"/>
  <c r="N27" i="21"/>
  <c r="M27" i="21"/>
  <c r="N26" i="21"/>
  <c r="M26" i="21"/>
  <c r="N25" i="21"/>
  <c r="M25" i="21"/>
  <c r="J25" i="21"/>
  <c r="I25" i="21"/>
  <c r="N24" i="21"/>
  <c r="M24" i="21"/>
  <c r="J24" i="21"/>
  <c r="I24" i="21"/>
  <c r="N23" i="21"/>
  <c r="M23" i="21"/>
  <c r="J23" i="21"/>
  <c r="I23" i="21"/>
  <c r="N22" i="21"/>
  <c r="M22" i="21"/>
  <c r="J22" i="21"/>
  <c r="I22" i="21"/>
  <c r="N21" i="21"/>
  <c r="M21" i="21"/>
  <c r="J21" i="21"/>
  <c r="I21" i="21"/>
  <c r="N20" i="21"/>
  <c r="M20" i="21"/>
  <c r="J20" i="21"/>
  <c r="I20" i="21"/>
  <c r="N19" i="21"/>
  <c r="M19" i="21"/>
  <c r="J19" i="21"/>
  <c r="I19" i="21"/>
  <c r="J18" i="21"/>
  <c r="I18" i="21"/>
  <c r="B18" i="21"/>
  <c r="A18" i="21"/>
  <c r="N17" i="21"/>
  <c r="M17" i="21"/>
  <c r="B17" i="21"/>
  <c r="A17" i="21"/>
  <c r="N16" i="21"/>
  <c r="M16" i="21"/>
  <c r="J16" i="21"/>
  <c r="I16" i="21"/>
  <c r="B16" i="21"/>
  <c r="A16" i="21"/>
  <c r="N15" i="21"/>
  <c r="M15" i="21"/>
  <c r="J15" i="21"/>
  <c r="I15" i="21"/>
  <c r="B15" i="21"/>
  <c r="A15" i="21"/>
  <c r="N14" i="21"/>
  <c r="M14" i="21"/>
  <c r="J14" i="21"/>
  <c r="I14" i="21"/>
  <c r="B14" i="21"/>
  <c r="A14" i="21"/>
  <c r="N13" i="21"/>
  <c r="M13" i="21"/>
  <c r="J13" i="21"/>
  <c r="I13" i="21"/>
  <c r="F13" i="21"/>
  <c r="E13" i="21"/>
  <c r="B13" i="21"/>
  <c r="A13" i="21"/>
  <c r="N12" i="21"/>
  <c r="M12" i="21"/>
  <c r="J12" i="21"/>
  <c r="I12" i="21"/>
  <c r="F12" i="21"/>
  <c r="E12" i="21"/>
  <c r="B12" i="21"/>
  <c r="A12" i="21"/>
  <c r="N11" i="21"/>
  <c r="M11" i="21"/>
  <c r="J11" i="21"/>
  <c r="I11" i="21"/>
  <c r="F11" i="21"/>
  <c r="E11" i="21"/>
  <c r="B11" i="21"/>
  <c r="A11" i="21"/>
  <c r="N10" i="21"/>
  <c r="M10" i="21"/>
  <c r="J10" i="21"/>
  <c r="I10" i="21"/>
  <c r="F10" i="21"/>
  <c r="E10" i="21"/>
  <c r="B10" i="21"/>
  <c r="A10" i="21"/>
  <c r="N9" i="21"/>
  <c r="M9" i="21"/>
  <c r="J9" i="21"/>
  <c r="I9" i="21"/>
  <c r="F9" i="21"/>
  <c r="E9" i="21"/>
  <c r="B9" i="21"/>
  <c r="A9" i="21"/>
  <c r="N8" i="21"/>
  <c r="M8" i="21"/>
  <c r="J8" i="21"/>
  <c r="I8" i="21"/>
  <c r="F8" i="21"/>
  <c r="E8" i="21"/>
  <c r="B8" i="21"/>
  <c r="A8" i="21"/>
  <c r="N7" i="21"/>
  <c r="M7" i="21"/>
  <c r="J7" i="21"/>
  <c r="I7" i="21"/>
  <c r="F7" i="21"/>
  <c r="E7" i="21"/>
  <c r="B7" i="21"/>
  <c r="A7" i="21"/>
  <c r="N6" i="21"/>
  <c r="M6" i="21"/>
  <c r="J6" i="21"/>
  <c r="I6" i="21"/>
  <c r="F6" i="21"/>
  <c r="E6" i="21"/>
  <c r="B6" i="21"/>
  <c r="A6" i="21"/>
  <c r="N5" i="21"/>
  <c r="M5" i="21"/>
  <c r="J5" i="21"/>
  <c r="I5" i="21"/>
  <c r="F5" i="21"/>
  <c r="E5" i="21"/>
  <c r="B5" i="21"/>
  <c r="A5" i="21"/>
  <c r="N4" i="21"/>
  <c r="M4" i="21"/>
  <c r="J4" i="21"/>
  <c r="I4" i="21"/>
  <c r="F4" i="21"/>
  <c r="H33" i="21" s="1"/>
  <c r="E4" i="21"/>
  <c r="E1" i="21"/>
  <c r="C1" i="21"/>
  <c r="P26" i="20"/>
  <c r="O26" i="20"/>
  <c r="N26" i="20"/>
  <c r="L26" i="20"/>
  <c r="K26" i="20"/>
  <c r="G26" i="20"/>
  <c r="E26" i="20"/>
  <c r="J26" i="20" s="1"/>
  <c r="C26" i="20"/>
  <c r="B26" i="20"/>
  <c r="P25" i="20"/>
  <c r="O25" i="20"/>
  <c r="N25" i="20"/>
  <c r="L25" i="20"/>
  <c r="K25" i="20"/>
  <c r="G25" i="20"/>
  <c r="E25" i="20"/>
  <c r="D25" i="20"/>
  <c r="C25" i="20"/>
  <c r="B25" i="20"/>
  <c r="P24" i="20"/>
  <c r="O24" i="20"/>
  <c r="N24" i="20"/>
  <c r="L24" i="20"/>
  <c r="K24" i="20"/>
  <c r="G24" i="20"/>
  <c r="E24" i="20"/>
  <c r="C24" i="20"/>
  <c r="B24" i="20"/>
  <c r="P23" i="20"/>
  <c r="O23" i="20"/>
  <c r="N23" i="20"/>
  <c r="L23" i="20"/>
  <c r="K23" i="20"/>
  <c r="G23" i="20"/>
  <c r="E23" i="20"/>
  <c r="J23" i="20" s="1"/>
  <c r="C23" i="20"/>
  <c r="B23" i="20"/>
  <c r="P22" i="20"/>
  <c r="O22" i="20"/>
  <c r="N22" i="20"/>
  <c r="L22" i="20"/>
  <c r="K22" i="20"/>
  <c r="G22" i="20"/>
  <c r="E22" i="20"/>
  <c r="C22" i="20"/>
  <c r="B22" i="20"/>
  <c r="P21" i="20"/>
  <c r="O21" i="20"/>
  <c r="N21" i="20"/>
  <c r="L21" i="20"/>
  <c r="K21" i="20"/>
  <c r="G21" i="20"/>
  <c r="E21" i="20"/>
  <c r="C21" i="20"/>
  <c r="B21" i="20"/>
  <c r="P20" i="20"/>
  <c r="O20" i="20"/>
  <c r="N20" i="20"/>
  <c r="L20" i="20"/>
  <c r="K20" i="20"/>
  <c r="G20" i="20"/>
  <c r="E20" i="20"/>
  <c r="C20" i="20"/>
  <c r="B20" i="20"/>
  <c r="P19" i="20"/>
  <c r="O19" i="20"/>
  <c r="N19" i="20"/>
  <c r="L19" i="20"/>
  <c r="K19" i="20"/>
  <c r="G19" i="20"/>
  <c r="E19" i="20"/>
  <c r="J19" i="20" s="1"/>
  <c r="C19" i="20"/>
  <c r="B19" i="20"/>
  <c r="P18" i="20"/>
  <c r="O18" i="20"/>
  <c r="N18" i="20"/>
  <c r="L18" i="20"/>
  <c r="K18" i="20"/>
  <c r="G18" i="20"/>
  <c r="E18" i="20"/>
  <c r="C18" i="20"/>
  <c r="B18" i="20"/>
  <c r="P17" i="20"/>
  <c r="O17" i="20"/>
  <c r="N17" i="20"/>
  <c r="L17" i="20"/>
  <c r="K17" i="20"/>
  <c r="G17" i="20"/>
  <c r="E17" i="20"/>
  <c r="D17" i="20"/>
  <c r="C17" i="20"/>
  <c r="J17" i="20" s="1"/>
  <c r="B17" i="20"/>
  <c r="P16" i="20"/>
  <c r="O16" i="20"/>
  <c r="N16" i="20"/>
  <c r="L16" i="20"/>
  <c r="K16" i="20"/>
  <c r="G16" i="20"/>
  <c r="E16" i="20"/>
  <c r="J16" i="20" s="1"/>
  <c r="C16" i="20"/>
  <c r="B16" i="20"/>
  <c r="P15" i="20"/>
  <c r="O15" i="20"/>
  <c r="N15" i="20"/>
  <c r="L15" i="20"/>
  <c r="K15" i="20"/>
  <c r="J15" i="20"/>
  <c r="G15" i="20"/>
  <c r="E15" i="20"/>
  <c r="C15" i="20"/>
  <c r="B15" i="20"/>
  <c r="P14" i="20"/>
  <c r="O14" i="20"/>
  <c r="N14" i="20"/>
  <c r="L14" i="20"/>
  <c r="K14" i="20"/>
  <c r="G14" i="20"/>
  <c r="E14" i="20"/>
  <c r="C14" i="20"/>
  <c r="J14" i="20" s="1"/>
  <c r="B14" i="20"/>
  <c r="P13" i="20"/>
  <c r="O13" i="20"/>
  <c r="N13" i="20"/>
  <c r="L13" i="20"/>
  <c r="K13" i="20"/>
  <c r="G13" i="20"/>
  <c r="E13" i="20"/>
  <c r="J13" i="20" s="1"/>
  <c r="C13" i="20"/>
  <c r="B13" i="20"/>
  <c r="P12" i="20"/>
  <c r="O12" i="20"/>
  <c r="N12" i="20"/>
  <c r="L12" i="20"/>
  <c r="K12" i="20"/>
  <c r="G12" i="20"/>
  <c r="E12" i="20"/>
  <c r="C12" i="20"/>
  <c r="B12" i="20"/>
  <c r="P11" i="20"/>
  <c r="O11" i="20"/>
  <c r="N11" i="20"/>
  <c r="L11" i="20"/>
  <c r="K11" i="20"/>
  <c r="G11" i="20"/>
  <c r="E11" i="20"/>
  <c r="C11" i="20"/>
  <c r="B11" i="20"/>
  <c r="P10" i="20"/>
  <c r="O10" i="20"/>
  <c r="N10" i="20"/>
  <c r="L10" i="20"/>
  <c r="K10" i="20"/>
  <c r="G10" i="20"/>
  <c r="E10" i="20"/>
  <c r="C10" i="20"/>
  <c r="B10" i="20"/>
  <c r="P9" i="20"/>
  <c r="O9" i="20"/>
  <c r="N9" i="20"/>
  <c r="L9" i="20"/>
  <c r="K9" i="20"/>
  <c r="G9" i="20"/>
  <c r="E9" i="20"/>
  <c r="J9" i="20" s="1"/>
  <c r="C9" i="20"/>
  <c r="B9" i="20"/>
  <c r="P8" i="20"/>
  <c r="O8" i="20"/>
  <c r="N8" i="20"/>
  <c r="L8" i="20"/>
  <c r="K8" i="20"/>
  <c r="G8" i="20"/>
  <c r="E8" i="20"/>
  <c r="C8" i="20"/>
  <c r="B8" i="20"/>
  <c r="P7" i="20"/>
  <c r="O7" i="20"/>
  <c r="N7" i="20"/>
  <c r="L7" i="20"/>
  <c r="K7" i="20"/>
  <c r="G7" i="20"/>
  <c r="E7" i="20"/>
  <c r="C7" i="20"/>
  <c r="B7" i="20"/>
  <c r="P6" i="20"/>
  <c r="O6" i="20"/>
  <c r="N6" i="20"/>
  <c r="L6" i="20"/>
  <c r="K6" i="20"/>
  <c r="G6" i="20"/>
  <c r="E6" i="20"/>
  <c r="C6" i="20"/>
  <c r="B6" i="20"/>
  <c r="P5" i="20"/>
  <c r="O5" i="20"/>
  <c r="N5" i="20"/>
  <c r="L5" i="20"/>
  <c r="K5" i="20"/>
  <c r="G5" i="20"/>
  <c r="E5" i="20"/>
  <c r="J5" i="20" s="1"/>
  <c r="C5" i="20"/>
  <c r="B5" i="20"/>
  <c r="H4" i="20"/>
  <c r="P28" i="19"/>
  <c r="O28" i="19"/>
  <c r="N28" i="19"/>
  <c r="L28" i="19"/>
  <c r="K28" i="19"/>
  <c r="G28" i="19"/>
  <c r="E28" i="19"/>
  <c r="C28" i="19"/>
  <c r="B28" i="19"/>
  <c r="P27" i="19"/>
  <c r="O27" i="19"/>
  <c r="N27" i="19"/>
  <c r="L27" i="19"/>
  <c r="K27" i="19"/>
  <c r="G27" i="19"/>
  <c r="E27" i="19"/>
  <c r="C27" i="19"/>
  <c r="B27" i="19"/>
  <c r="P26" i="19"/>
  <c r="O26" i="19"/>
  <c r="N26" i="19"/>
  <c r="L26" i="19"/>
  <c r="K26" i="19"/>
  <c r="G26" i="19"/>
  <c r="E26" i="19"/>
  <c r="C26" i="19"/>
  <c r="B26" i="19"/>
  <c r="P25" i="19"/>
  <c r="O25" i="19"/>
  <c r="N25" i="19"/>
  <c r="L25" i="19"/>
  <c r="K25" i="19"/>
  <c r="G25" i="19"/>
  <c r="E25" i="19"/>
  <c r="C25" i="19"/>
  <c r="B25" i="19"/>
  <c r="P24" i="19"/>
  <c r="O24" i="19"/>
  <c r="N24" i="19"/>
  <c r="L24" i="19"/>
  <c r="K24" i="19"/>
  <c r="G24" i="19"/>
  <c r="E24" i="19"/>
  <c r="C24" i="19"/>
  <c r="B24" i="19"/>
  <c r="P23" i="19"/>
  <c r="O23" i="19"/>
  <c r="N23" i="19"/>
  <c r="L23" i="19"/>
  <c r="K23" i="19"/>
  <c r="G23" i="19"/>
  <c r="E23" i="19"/>
  <c r="C23" i="19"/>
  <c r="B23" i="19"/>
  <c r="P22" i="19"/>
  <c r="O22" i="19"/>
  <c r="N22" i="19"/>
  <c r="L22" i="19"/>
  <c r="K22" i="19"/>
  <c r="G22" i="19"/>
  <c r="E22" i="19"/>
  <c r="C22" i="19"/>
  <c r="B22" i="19"/>
  <c r="P21" i="19"/>
  <c r="O21" i="19"/>
  <c r="N21" i="19"/>
  <c r="L21" i="19"/>
  <c r="K21" i="19"/>
  <c r="G21" i="19"/>
  <c r="E21" i="19"/>
  <c r="C21" i="19"/>
  <c r="B21" i="19"/>
  <c r="P20" i="19"/>
  <c r="O20" i="19"/>
  <c r="N20" i="19"/>
  <c r="L20" i="19"/>
  <c r="K20" i="19"/>
  <c r="G20" i="19"/>
  <c r="E20" i="19"/>
  <c r="C20" i="19"/>
  <c r="B20" i="19"/>
  <c r="P19" i="19"/>
  <c r="O19" i="19"/>
  <c r="N19" i="19"/>
  <c r="L19" i="19"/>
  <c r="K19" i="19"/>
  <c r="G19" i="19"/>
  <c r="E19" i="19"/>
  <c r="C19" i="19"/>
  <c r="B19" i="19"/>
  <c r="P18" i="19"/>
  <c r="O18" i="19"/>
  <c r="N18" i="19"/>
  <c r="L18" i="19"/>
  <c r="K18" i="19"/>
  <c r="G18" i="19"/>
  <c r="E18" i="19"/>
  <c r="C18" i="19"/>
  <c r="B18" i="19"/>
  <c r="P17" i="19"/>
  <c r="O17" i="19"/>
  <c r="N17" i="19"/>
  <c r="L17" i="19"/>
  <c r="K17" i="19"/>
  <c r="G17" i="19"/>
  <c r="E17" i="19"/>
  <c r="C17" i="19"/>
  <c r="B17" i="19"/>
  <c r="P16" i="19"/>
  <c r="O16" i="19"/>
  <c r="N16" i="19"/>
  <c r="L16" i="19"/>
  <c r="K16" i="19"/>
  <c r="G16" i="19"/>
  <c r="E16" i="19"/>
  <c r="C16" i="19"/>
  <c r="B16" i="19"/>
  <c r="P15" i="19"/>
  <c r="O15" i="19"/>
  <c r="N15" i="19"/>
  <c r="L15" i="19"/>
  <c r="K15" i="19"/>
  <c r="G15" i="19"/>
  <c r="E15" i="19"/>
  <c r="C15" i="19"/>
  <c r="B15" i="19"/>
  <c r="P14" i="19"/>
  <c r="O14" i="19"/>
  <c r="N14" i="19"/>
  <c r="L14" i="19"/>
  <c r="K14" i="19"/>
  <c r="G14" i="19"/>
  <c r="E14" i="19"/>
  <c r="C14" i="19"/>
  <c r="B14" i="19"/>
  <c r="P13" i="19"/>
  <c r="O13" i="19"/>
  <c r="N13" i="19"/>
  <c r="L13" i="19"/>
  <c r="K13" i="19"/>
  <c r="G13" i="19"/>
  <c r="E13" i="19"/>
  <c r="C13" i="19"/>
  <c r="B13" i="19"/>
  <c r="P12" i="19"/>
  <c r="O12" i="19"/>
  <c r="N12" i="19"/>
  <c r="L12" i="19"/>
  <c r="K12" i="19"/>
  <c r="G12" i="19"/>
  <c r="E12" i="19"/>
  <c r="C12" i="19"/>
  <c r="B12" i="19"/>
  <c r="P11" i="19"/>
  <c r="O11" i="19"/>
  <c r="N11" i="19"/>
  <c r="L11" i="19"/>
  <c r="K11" i="19"/>
  <c r="G11" i="19"/>
  <c r="E11" i="19"/>
  <c r="C11" i="19"/>
  <c r="B11" i="19"/>
  <c r="P10" i="19"/>
  <c r="O10" i="19"/>
  <c r="N10" i="19"/>
  <c r="L10" i="19"/>
  <c r="K10" i="19"/>
  <c r="G10" i="19"/>
  <c r="E10" i="19"/>
  <c r="C10" i="19"/>
  <c r="B10" i="19"/>
  <c r="P9" i="19"/>
  <c r="O9" i="19"/>
  <c r="N9" i="19"/>
  <c r="L9" i="19"/>
  <c r="K9" i="19"/>
  <c r="J9" i="19"/>
  <c r="G9" i="19"/>
  <c r="E9" i="19"/>
  <c r="C9" i="19"/>
  <c r="B9" i="19"/>
  <c r="P8" i="19"/>
  <c r="O8" i="19"/>
  <c r="N8" i="19"/>
  <c r="L8" i="19"/>
  <c r="K8" i="19"/>
  <c r="G8" i="19"/>
  <c r="E8" i="19"/>
  <c r="C8" i="19"/>
  <c r="B8" i="19"/>
  <c r="P7" i="19"/>
  <c r="O7" i="19"/>
  <c r="N7" i="19"/>
  <c r="L7" i="19"/>
  <c r="K7" i="19"/>
  <c r="J7" i="19"/>
  <c r="G7" i="19"/>
  <c r="E7" i="19"/>
  <c r="C7" i="19"/>
  <c r="B7" i="19"/>
  <c r="P6" i="19"/>
  <c r="O6" i="19"/>
  <c r="N6" i="19"/>
  <c r="L6" i="19"/>
  <c r="K6" i="19"/>
  <c r="G6" i="19"/>
  <c r="E6" i="19"/>
  <c r="C6" i="19"/>
  <c r="B6" i="19"/>
  <c r="P5" i="19"/>
  <c r="O5" i="19"/>
  <c r="N5" i="19"/>
  <c r="L5" i="19"/>
  <c r="M5" i="19" s="1"/>
  <c r="K5" i="19"/>
  <c r="G5" i="19"/>
  <c r="E5" i="19"/>
  <c r="C5" i="19"/>
  <c r="B5" i="19"/>
  <c r="H4" i="19"/>
  <c r="P28" i="18"/>
  <c r="O28" i="18"/>
  <c r="N28" i="18"/>
  <c r="L28" i="18"/>
  <c r="K28" i="18"/>
  <c r="G28" i="18"/>
  <c r="E28" i="18"/>
  <c r="C28" i="18"/>
  <c r="B28" i="18"/>
  <c r="P27" i="18"/>
  <c r="O27" i="18"/>
  <c r="N27" i="18"/>
  <c r="L27" i="18"/>
  <c r="K27" i="18"/>
  <c r="G27" i="18"/>
  <c r="E27" i="18"/>
  <c r="C27" i="18"/>
  <c r="B27" i="18"/>
  <c r="P26" i="18"/>
  <c r="O26" i="18"/>
  <c r="N26" i="18"/>
  <c r="L26" i="18"/>
  <c r="K26" i="18"/>
  <c r="G26" i="18"/>
  <c r="E26" i="18"/>
  <c r="C26" i="18"/>
  <c r="B26" i="18"/>
  <c r="P25" i="18"/>
  <c r="O25" i="18"/>
  <c r="N25" i="18"/>
  <c r="L25" i="18"/>
  <c r="K25" i="18"/>
  <c r="G25" i="18"/>
  <c r="E25" i="18"/>
  <c r="C25" i="18"/>
  <c r="B25" i="18"/>
  <c r="P24" i="18"/>
  <c r="O24" i="18"/>
  <c r="N24" i="18"/>
  <c r="L24" i="18"/>
  <c r="K24" i="18"/>
  <c r="G24" i="18"/>
  <c r="E24" i="18"/>
  <c r="C24" i="18"/>
  <c r="B24" i="18"/>
  <c r="P23" i="18"/>
  <c r="O23" i="18"/>
  <c r="N23" i="18"/>
  <c r="L23" i="18"/>
  <c r="K23" i="18"/>
  <c r="G23" i="18"/>
  <c r="E23" i="18"/>
  <c r="C23" i="18"/>
  <c r="B23" i="18"/>
  <c r="P22" i="18"/>
  <c r="O22" i="18"/>
  <c r="N22" i="18"/>
  <c r="L22" i="18"/>
  <c r="K22" i="18"/>
  <c r="G22" i="18"/>
  <c r="E22" i="18"/>
  <c r="C22" i="18"/>
  <c r="B22" i="18"/>
  <c r="P21" i="18"/>
  <c r="O21" i="18"/>
  <c r="N21" i="18"/>
  <c r="L21" i="18"/>
  <c r="K21" i="18"/>
  <c r="G21" i="18"/>
  <c r="E21" i="18"/>
  <c r="J21" i="18" s="1"/>
  <c r="C21" i="18"/>
  <c r="B21" i="18"/>
  <c r="P20" i="18"/>
  <c r="O20" i="18"/>
  <c r="N20" i="18"/>
  <c r="L20" i="18"/>
  <c r="K20" i="18"/>
  <c r="G20" i="18"/>
  <c r="E20" i="18"/>
  <c r="C20" i="18"/>
  <c r="B20" i="18"/>
  <c r="P19" i="18"/>
  <c r="O19" i="18"/>
  <c r="N19" i="18"/>
  <c r="L19" i="18"/>
  <c r="K19" i="18"/>
  <c r="G19" i="18"/>
  <c r="E19" i="18"/>
  <c r="C19" i="18"/>
  <c r="B19" i="18"/>
  <c r="P18" i="18"/>
  <c r="O18" i="18"/>
  <c r="N18" i="18"/>
  <c r="L18" i="18"/>
  <c r="K18" i="18"/>
  <c r="G18" i="18"/>
  <c r="E18" i="18"/>
  <c r="C18" i="18"/>
  <c r="B18" i="18"/>
  <c r="P17" i="18"/>
  <c r="O17" i="18"/>
  <c r="N17" i="18"/>
  <c r="L17" i="18"/>
  <c r="K17" i="18"/>
  <c r="G17" i="18"/>
  <c r="E17" i="18"/>
  <c r="C17" i="18"/>
  <c r="B17" i="18"/>
  <c r="P16" i="18"/>
  <c r="O16" i="18"/>
  <c r="N16" i="18"/>
  <c r="L16" i="18"/>
  <c r="K16" i="18"/>
  <c r="M16" i="18" s="1"/>
  <c r="J16" i="18"/>
  <c r="G16" i="18"/>
  <c r="E16" i="18"/>
  <c r="C16" i="18"/>
  <c r="B16" i="18"/>
  <c r="P15" i="18"/>
  <c r="O15" i="18"/>
  <c r="N15" i="18"/>
  <c r="L15" i="18"/>
  <c r="M15" i="18" s="1"/>
  <c r="K15" i="18"/>
  <c r="G15" i="18"/>
  <c r="E15" i="18"/>
  <c r="C15" i="18"/>
  <c r="B15" i="18"/>
  <c r="P14" i="18"/>
  <c r="O14" i="18"/>
  <c r="N14" i="18"/>
  <c r="L14" i="18"/>
  <c r="K14" i="18"/>
  <c r="G14" i="18"/>
  <c r="E14" i="18"/>
  <c r="C14" i="18"/>
  <c r="B14" i="18"/>
  <c r="P13" i="18"/>
  <c r="O13" i="18"/>
  <c r="N13" i="18"/>
  <c r="L13" i="18"/>
  <c r="K13" i="18"/>
  <c r="G13" i="18"/>
  <c r="E13" i="18"/>
  <c r="C13" i="18"/>
  <c r="B13" i="18"/>
  <c r="P12" i="18"/>
  <c r="O12" i="18"/>
  <c r="N12" i="18"/>
  <c r="L12" i="18"/>
  <c r="K12" i="18"/>
  <c r="G12" i="18"/>
  <c r="E12" i="18"/>
  <c r="C12" i="18"/>
  <c r="B12" i="18"/>
  <c r="P11" i="18"/>
  <c r="O11" i="18"/>
  <c r="N11" i="18"/>
  <c r="L11" i="18"/>
  <c r="K11" i="18"/>
  <c r="G11" i="18"/>
  <c r="E11" i="18"/>
  <c r="D11" i="18"/>
  <c r="C11" i="18"/>
  <c r="B11" i="18"/>
  <c r="P10" i="18"/>
  <c r="O10" i="18"/>
  <c r="N10" i="18"/>
  <c r="L10" i="18"/>
  <c r="K10" i="18"/>
  <c r="G10" i="18"/>
  <c r="E10" i="18"/>
  <c r="C10" i="18"/>
  <c r="B10" i="18"/>
  <c r="P9" i="18"/>
  <c r="O9" i="18"/>
  <c r="N9" i="18"/>
  <c r="L9" i="18"/>
  <c r="K9" i="18"/>
  <c r="G9" i="18"/>
  <c r="E9" i="18"/>
  <c r="C9" i="18"/>
  <c r="B9" i="18"/>
  <c r="P8" i="18"/>
  <c r="O8" i="18"/>
  <c r="N8" i="18"/>
  <c r="L8" i="18"/>
  <c r="K8" i="18"/>
  <c r="G8" i="18"/>
  <c r="E8" i="18"/>
  <c r="C8" i="18"/>
  <c r="B8" i="18"/>
  <c r="P7" i="18"/>
  <c r="O7" i="18"/>
  <c r="N7" i="18"/>
  <c r="L7" i="18"/>
  <c r="K7" i="18"/>
  <c r="G7" i="18"/>
  <c r="E7" i="18"/>
  <c r="C7" i="18"/>
  <c r="B7" i="18"/>
  <c r="P6" i="18"/>
  <c r="O6" i="18"/>
  <c r="N6" i="18"/>
  <c r="L6" i="18"/>
  <c r="K6" i="18"/>
  <c r="G6" i="18"/>
  <c r="E6" i="18"/>
  <c r="C6" i="18"/>
  <c r="B6" i="18"/>
  <c r="P5" i="18"/>
  <c r="O5" i="18"/>
  <c r="N5" i="18"/>
  <c r="L5" i="18"/>
  <c r="K5" i="18"/>
  <c r="G5" i="18"/>
  <c r="E5" i="18"/>
  <c r="C5" i="18"/>
  <c r="B5" i="18"/>
  <c r="H4" i="18"/>
  <c r="P22" i="17"/>
  <c r="O22" i="17"/>
  <c r="N22" i="17"/>
  <c r="L22" i="17"/>
  <c r="K22" i="17"/>
  <c r="G22" i="17"/>
  <c r="E22" i="17"/>
  <c r="C22" i="17"/>
  <c r="B22" i="17"/>
  <c r="P21" i="17"/>
  <c r="O21" i="17"/>
  <c r="N21" i="17"/>
  <c r="L21" i="17"/>
  <c r="K21" i="17"/>
  <c r="G21" i="17"/>
  <c r="E21" i="17"/>
  <c r="C21" i="17"/>
  <c r="B21" i="17"/>
  <c r="P20" i="17"/>
  <c r="O20" i="17"/>
  <c r="N20" i="17"/>
  <c r="L20" i="17"/>
  <c r="K20" i="17"/>
  <c r="G20" i="17"/>
  <c r="E20" i="17"/>
  <c r="C20" i="17"/>
  <c r="B20" i="17"/>
  <c r="P19" i="17"/>
  <c r="O19" i="17"/>
  <c r="N19" i="17"/>
  <c r="L19" i="17"/>
  <c r="K19" i="17"/>
  <c r="G19" i="17"/>
  <c r="E19" i="17"/>
  <c r="C19" i="17"/>
  <c r="B19" i="17"/>
  <c r="P18" i="17"/>
  <c r="O18" i="17"/>
  <c r="N18" i="17"/>
  <c r="L18" i="17"/>
  <c r="K18" i="17"/>
  <c r="G18" i="17"/>
  <c r="E18" i="17"/>
  <c r="J18" i="17" s="1"/>
  <c r="C18" i="17"/>
  <c r="B18" i="17"/>
  <c r="P17" i="17"/>
  <c r="O17" i="17"/>
  <c r="N17" i="17"/>
  <c r="L17" i="17"/>
  <c r="K17" i="17"/>
  <c r="G17" i="17"/>
  <c r="E17" i="17"/>
  <c r="C17" i="17"/>
  <c r="B17" i="17"/>
  <c r="P16" i="17"/>
  <c r="O16" i="17"/>
  <c r="N16" i="17"/>
  <c r="L16" i="17"/>
  <c r="K16" i="17"/>
  <c r="G16" i="17"/>
  <c r="E16" i="17"/>
  <c r="C16" i="17"/>
  <c r="B16" i="17"/>
  <c r="P15" i="17"/>
  <c r="O15" i="17"/>
  <c r="N15" i="17"/>
  <c r="L15" i="17"/>
  <c r="K15" i="17"/>
  <c r="G15" i="17"/>
  <c r="E15" i="17"/>
  <c r="C15" i="17"/>
  <c r="B15" i="17"/>
  <c r="P14" i="17"/>
  <c r="O14" i="17"/>
  <c r="N14" i="17"/>
  <c r="L14" i="17"/>
  <c r="K14" i="17"/>
  <c r="G14" i="17"/>
  <c r="E14" i="17"/>
  <c r="C14" i="17"/>
  <c r="B14" i="17"/>
  <c r="P13" i="17"/>
  <c r="O13" i="17"/>
  <c r="N13" i="17"/>
  <c r="L13" i="17"/>
  <c r="K13" i="17"/>
  <c r="G13" i="17"/>
  <c r="E13" i="17"/>
  <c r="C13" i="17"/>
  <c r="B13" i="17"/>
  <c r="P12" i="17"/>
  <c r="O12" i="17"/>
  <c r="N12" i="17"/>
  <c r="L12" i="17"/>
  <c r="K12" i="17"/>
  <c r="G12" i="17"/>
  <c r="E12" i="17"/>
  <c r="C12" i="17"/>
  <c r="B12" i="17"/>
  <c r="P11" i="17"/>
  <c r="O11" i="17"/>
  <c r="N11" i="17"/>
  <c r="L11" i="17"/>
  <c r="K11" i="17"/>
  <c r="G11" i="17"/>
  <c r="E11" i="17"/>
  <c r="C11" i="17"/>
  <c r="B11" i="17"/>
  <c r="P10" i="17"/>
  <c r="O10" i="17"/>
  <c r="N10" i="17"/>
  <c r="L10" i="17"/>
  <c r="K10" i="17"/>
  <c r="G10" i="17"/>
  <c r="E10" i="17"/>
  <c r="J10" i="17" s="1"/>
  <c r="C10" i="17"/>
  <c r="B10" i="17"/>
  <c r="P9" i="17"/>
  <c r="O9" i="17"/>
  <c r="N9" i="17"/>
  <c r="L9" i="17"/>
  <c r="K9" i="17"/>
  <c r="G9" i="17"/>
  <c r="E9" i="17"/>
  <c r="C9" i="17"/>
  <c r="B9" i="17"/>
  <c r="P8" i="17"/>
  <c r="O8" i="17"/>
  <c r="N8" i="17"/>
  <c r="L8" i="17"/>
  <c r="K8" i="17"/>
  <c r="G8" i="17"/>
  <c r="E8" i="17"/>
  <c r="C8" i="17"/>
  <c r="B8" i="17"/>
  <c r="P7" i="17"/>
  <c r="O7" i="17"/>
  <c r="N7" i="17"/>
  <c r="L7" i="17"/>
  <c r="K7" i="17"/>
  <c r="G7" i="17"/>
  <c r="E7" i="17"/>
  <c r="C7" i="17"/>
  <c r="B7" i="17"/>
  <c r="P6" i="17"/>
  <c r="O6" i="17"/>
  <c r="N6" i="17"/>
  <c r="L6" i="17"/>
  <c r="K6" i="17"/>
  <c r="G6" i="17"/>
  <c r="E6" i="17"/>
  <c r="C6" i="17"/>
  <c r="B6" i="17"/>
  <c r="P5" i="17"/>
  <c r="O5" i="17"/>
  <c r="N5" i="17"/>
  <c r="L5" i="17"/>
  <c r="K5" i="17"/>
  <c r="G5" i="17"/>
  <c r="E5" i="17"/>
  <c r="C5" i="17"/>
  <c r="B5" i="17"/>
  <c r="H4" i="17"/>
  <c r="P26" i="16"/>
  <c r="O26" i="16"/>
  <c r="N26" i="16"/>
  <c r="L26" i="16"/>
  <c r="K26" i="16"/>
  <c r="G26" i="16"/>
  <c r="E26" i="16"/>
  <c r="C26" i="16"/>
  <c r="B26" i="16"/>
  <c r="P25" i="16"/>
  <c r="O25" i="16"/>
  <c r="N25" i="16"/>
  <c r="L25" i="16"/>
  <c r="K25" i="16"/>
  <c r="M25" i="16" s="1"/>
  <c r="G25" i="16"/>
  <c r="E25" i="16"/>
  <c r="J25" i="16" s="1"/>
  <c r="C25" i="16"/>
  <c r="B25" i="16"/>
  <c r="P24" i="16"/>
  <c r="O24" i="16"/>
  <c r="N24" i="16"/>
  <c r="L24" i="16"/>
  <c r="K24" i="16"/>
  <c r="G24" i="16"/>
  <c r="E24" i="16"/>
  <c r="C24" i="16"/>
  <c r="B24" i="16"/>
  <c r="P23" i="16"/>
  <c r="O23" i="16"/>
  <c r="N23" i="16"/>
  <c r="L23" i="16"/>
  <c r="K23" i="16"/>
  <c r="G23" i="16"/>
  <c r="E23" i="16"/>
  <c r="C23" i="16"/>
  <c r="B23" i="16"/>
  <c r="P22" i="16"/>
  <c r="O22" i="16"/>
  <c r="N22" i="16"/>
  <c r="L22" i="16"/>
  <c r="K22" i="16"/>
  <c r="G22" i="16"/>
  <c r="E22" i="16"/>
  <c r="C22" i="16"/>
  <c r="B22" i="16"/>
  <c r="P21" i="16"/>
  <c r="O21" i="16"/>
  <c r="N21" i="16"/>
  <c r="L21" i="16"/>
  <c r="K21" i="16"/>
  <c r="G21" i="16"/>
  <c r="E21" i="16"/>
  <c r="C21" i="16"/>
  <c r="B21" i="16"/>
  <c r="P20" i="16"/>
  <c r="O20" i="16"/>
  <c r="N20" i="16"/>
  <c r="L20" i="16"/>
  <c r="K20" i="16"/>
  <c r="G20" i="16"/>
  <c r="E20" i="16"/>
  <c r="C20" i="16"/>
  <c r="B20" i="16"/>
  <c r="P19" i="16"/>
  <c r="O19" i="16"/>
  <c r="N19" i="16"/>
  <c r="L19" i="16"/>
  <c r="K19" i="16"/>
  <c r="G19" i="16"/>
  <c r="E19" i="16"/>
  <c r="C19" i="16"/>
  <c r="B19" i="16"/>
  <c r="P18" i="16"/>
  <c r="O18" i="16"/>
  <c r="N18" i="16"/>
  <c r="L18" i="16"/>
  <c r="K18" i="16"/>
  <c r="G18" i="16"/>
  <c r="E18" i="16"/>
  <c r="C18" i="16"/>
  <c r="B18" i="16"/>
  <c r="P17" i="16"/>
  <c r="O17" i="16"/>
  <c r="N17" i="16"/>
  <c r="L17" i="16"/>
  <c r="K17" i="16"/>
  <c r="G17" i="16"/>
  <c r="E17" i="16"/>
  <c r="J17" i="16" s="1"/>
  <c r="C17" i="16"/>
  <c r="B17" i="16"/>
  <c r="P16" i="16"/>
  <c r="O16" i="16"/>
  <c r="N16" i="16"/>
  <c r="L16" i="16"/>
  <c r="K16" i="16"/>
  <c r="G16" i="16"/>
  <c r="E16" i="16"/>
  <c r="C16" i="16"/>
  <c r="B16" i="16"/>
  <c r="P15" i="16"/>
  <c r="O15" i="16"/>
  <c r="N15" i="16"/>
  <c r="L15" i="16"/>
  <c r="K15" i="16"/>
  <c r="G15" i="16"/>
  <c r="E15" i="16"/>
  <c r="C15" i="16"/>
  <c r="B15" i="16"/>
  <c r="P14" i="16"/>
  <c r="O14" i="16"/>
  <c r="N14" i="16"/>
  <c r="L14" i="16"/>
  <c r="K14" i="16"/>
  <c r="G14" i="16"/>
  <c r="E14" i="16"/>
  <c r="C14" i="16"/>
  <c r="B14" i="16"/>
  <c r="P13" i="16"/>
  <c r="O13" i="16"/>
  <c r="N13" i="16"/>
  <c r="L13" i="16"/>
  <c r="K13" i="16"/>
  <c r="G13" i="16"/>
  <c r="E13" i="16"/>
  <c r="C13" i="16"/>
  <c r="B13" i="16"/>
  <c r="P12" i="16"/>
  <c r="O12" i="16"/>
  <c r="N12" i="16"/>
  <c r="L12" i="16"/>
  <c r="K12" i="16"/>
  <c r="G12" i="16"/>
  <c r="E12" i="16"/>
  <c r="C12" i="16"/>
  <c r="B12" i="16"/>
  <c r="P11" i="16"/>
  <c r="O11" i="16"/>
  <c r="N11" i="16"/>
  <c r="L11" i="16"/>
  <c r="K11" i="16"/>
  <c r="G11" i="16"/>
  <c r="E11" i="16"/>
  <c r="C11" i="16"/>
  <c r="B11" i="16"/>
  <c r="P10" i="16"/>
  <c r="O10" i="16"/>
  <c r="N10" i="16"/>
  <c r="L10" i="16"/>
  <c r="K10" i="16"/>
  <c r="G10" i="16"/>
  <c r="E10" i="16"/>
  <c r="C10" i="16"/>
  <c r="B10" i="16"/>
  <c r="P9" i="16"/>
  <c r="O9" i="16"/>
  <c r="N9" i="16"/>
  <c r="L9" i="16"/>
  <c r="K9" i="16"/>
  <c r="G9" i="16"/>
  <c r="E9" i="16"/>
  <c r="J9" i="16" s="1"/>
  <c r="C9" i="16"/>
  <c r="B9" i="16"/>
  <c r="P8" i="16"/>
  <c r="O8" i="16"/>
  <c r="N8" i="16"/>
  <c r="L8" i="16"/>
  <c r="K8" i="16"/>
  <c r="G8" i="16"/>
  <c r="E8" i="16"/>
  <c r="C8" i="16"/>
  <c r="B8" i="16"/>
  <c r="P7" i="16"/>
  <c r="O7" i="16"/>
  <c r="N7" i="16"/>
  <c r="L7" i="16"/>
  <c r="K7" i="16"/>
  <c r="G7" i="16"/>
  <c r="E7" i="16"/>
  <c r="C7" i="16"/>
  <c r="B7" i="16"/>
  <c r="P6" i="16"/>
  <c r="O6" i="16"/>
  <c r="N6" i="16"/>
  <c r="L6" i="16"/>
  <c r="K6" i="16"/>
  <c r="G6" i="16"/>
  <c r="E6" i="16"/>
  <c r="C6" i="16"/>
  <c r="B6" i="16"/>
  <c r="P5" i="16"/>
  <c r="O5" i="16"/>
  <c r="N5" i="16"/>
  <c r="L5" i="16"/>
  <c r="K5" i="16"/>
  <c r="G5" i="16"/>
  <c r="E5" i="16"/>
  <c r="C5" i="16"/>
  <c r="B5" i="16"/>
  <c r="H4" i="16"/>
  <c r="P26" i="15"/>
  <c r="O26" i="15"/>
  <c r="N26" i="15"/>
  <c r="L26" i="15"/>
  <c r="K26" i="15"/>
  <c r="G26" i="15"/>
  <c r="E26" i="15"/>
  <c r="C26" i="15"/>
  <c r="B26" i="15"/>
  <c r="P25" i="15"/>
  <c r="O25" i="15"/>
  <c r="N25" i="15"/>
  <c r="L25" i="15"/>
  <c r="K25" i="15"/>
  <c r="G25" i="15"/>
  <c r="E25" i="15"/>
  <c r="C25" i="15"/>
  <c r="B25" i="15"/>
  <c r="P24" i="15"/>
  <c r="O24" i="15"/>
  <c r="N24" i="15"/>
  <c r="L24" i="15"/>
  <c r="K24" i="15"/>
  <c r="G24" i="15"/>
  <c r="E24" i="15"/>
  <c r="J24" i="15" s="1"/>
  <c r="C24" i="15"/>
  <c r="B24" i="15"/>
  <c r="P23" i="15"/>
  <c r="O23" i="15"/>
  <c r="N23" i="15"/>
  <c r="L23" i="15"/>
  <c r="K23" i="15"/>
  <c r="G23" i="15"/>
  <c r="E23" i="15"/>
  <c r="C23" i="15"/>
  <c r="B23" i="15"/>
  <c r="P22" i="15"/>
  <c r="O22" i="15"/>
  <c r="N22" i="15"/>
  <c r="L22" i="15"/>
  <c r="K22" i="15"/>
  <c r="G22" i="15"/>
  <c r="E22" i="15"/>
  <c r="C22" i="15"/>
  <c r="B22" i="15"/>
  <c r="P21" i="15"/>
  <c r="O21" i="15"/>
  <c r="N21" i="15"/>
  <c r="L21" i="15"/>
  <c r="K21" i="15"/>
  <c r="G21" i="15"/>
  <c r="E21" i="15"/>
  <c r="C21" i="15"/>
  <c r="B21" i="15"/>
  <c r="P20" i="15"/>
  <c r="O20" i="15"/>
  <c r="N20" i="15"/>
  <c r="L20" i="15"/>
  <c r="K20" i="15"/>
  <c r="G20" i="15"/>
  <c r="E20" i="15"/>
  <c r="C20" i="15"/>
  <c r="B20" i="15"/>
  <c r="P19" i="15"/>
  <c r="O19" i="15"/>
  <c r="N19" i="15"/>
  <c r="L19" i="15"/>
  <c r="K19" i="15"/>
  <c r="G19" i="15"/>
  <c r="E19" i="15"/>
  <c r="C19" i="15"/>
  <c r="B19" i="15"/>
  <c r="P18" i="15"/>
  <c r="O18" i="15"/>
  <c r="N18" i="15"/>
  <c r="L18" i="15"/>
  <c r="K18" i="15"/>
  <c r="G18" i="15"/>
  <c r="E18" i="15"/>
  <c r="C18" i="15"/>
  <c r="B18" i="15"/>
  <c r="P17" i="15"/>
  <c r="O17" i="15"/>
  <c r="N17" i="15"/>
  <c r="L17" i="15"/>
  <c r="K17" i="15"/>
  <c r="G17" i="15"/>
  <c r="E17" i="15"/>
  <c r="C17" i="15"/>
  <c r="B17" i="15"/>
  <c r="P16" i="15"/>
  <c r="O16" i="15"/>
  <c r="N16" i="15"/>
  <c r="L16" i="15"/>
  <c r="K16" i="15"/>
  <c r="G16" i="15"/>
  <c r="E16" i="15"/>
  <c r="J16" i="15" s="1"/>
  <c r="C16" i="15"/>
  <c r="B16" i="15"/>
  <c r="P15" i="15"/>
  <c r="O15" i="15"/>
  <c r="N15" i="15"/>
  <c r="L15" i="15"/>
  <c r="K15" i="15"/>
  <c r="G15" i="15"/>
  <c r="E15" i="15"/>
  <c r="C15" i="15"/>
  <c r="B15" i="15"/>
  <c r="P14" i="15"/>
  <c r="O14" i="15"/>
  <c r="N14" i="15"/>
  <c r="L14" i="15"/>
  <c r="K14" i="15"/>
  <c r="G14" i="15"/>
  <c r="E14" i="15"/>
  <c r="C14" i="15"/>
  <c r="B14" i="15"/>
  <c r="P13" i="15"/>
  <c r="O13" i="15"/>
  <c r="N13" i="15"/>
  <c r="L13" i="15"/>
  <c r="K13" i="15"/>
  <c r="G13" i="15"/>
  <c r="E13" i="15"/>
  <c r="C13" i="15"/>
  <c r="B13" i="15"/>
  <c r="P12" i="15"/>
  <c r="O12" i="15"/>
  <c r="N12" i="15"/>
  <c r="L12" i="15"/>
  <c r="K12" i="15"/>
  <c r="G12" i="15"/>
  <c r="E12" i="15"/>
  <c r="C12" i="15"/>
  <c r="B12" i="15"/>
  <c r="P11" i="15"/>
  <c r="O11" i="15"/>
  <c r="N11" i="15"/>
  <c r="L11" i="15"/>
  <c r="K11" i="15"/>
  <c r="G11" i="15"/>
  <c r="E11" i="15"/>
  <c r="C11" i="15"/>
  <c r="B11" i="15"/>
  <c r="P10" i="15"/>
  <c r="O10" i="15"/>
  <c r="N10" i="15"/>
  <c r="L10" i="15"/>
  <c r="K10" i="15"/>
  <c r="G10" i="15"/>
  <c r="E10" i="15"/>
  <c r="C10" i="15"/>
  <c r="B10" i="15"/>
  <c r="P9" i="15"/>
  <c r="O9" i="15"/>
  <c r="N9" i="15"/>
  <c r="L9" i="15"/>
  <c r="K9" i="15"/>
  <c r="G9" i="15"/>
  <c r="E9" i="15"/>
  <c r="C9" i="15"/>
  <c r="B9" i="15"/>
  <c r="P8" i="15"/>
  <c r="O8" i="15"/>
  <c r="N8" i="15"/>
  <c r="L8" i="15"/>
  <c r="K8" i="15"/>
  <c r="G8" i="15"/>
  <c r="E8" i="15"/>
  <c r="J8" i="15" s="1"/>
  <c r="C8" i="15"/>
  <c r="B8" i="15"/>
  <c r="P7" i="15"/>
  <c r="O7" i="15"/>
  <c r="N7" i="15"/>
  <c r="L7" i="15"/>
  <c r="K7" i="15"/>
  <c r="G7" i="15"/>
  <c r="E7" i="15"/>
  <c r="C7" i="15"/>
  <c r="B7" i="15"/>
  <c r="P6" i="15"/>
  <c r="O6" i="15"/>
  <c r="N6" i="15"/>
  <c r="L6" i="15"/>
  <c r="K6" i="15"/>
  <c r="G6" i="15"/>
  <c r="E6" i="15"/>
  <c r="C6" i="15"/>
  <c r="B6" i="15"/>
  <c r="P5" i="15"/>
  <c r="O5" i="15"/>
  <c r="N5" i="15"/>
  <c r="L5" i="15"/>
  <c r="K5" i="15"/>
  <c r="G5" i="15"/>
  <c r="E5" i="15"/>
  <c r="C5" i="15"/>
  <c r="B5" i="15"/>
  <c r="H4" i="15"/>
  <c r="P24" i="14"/>
  <c r="O24" i="14"/>
  <c r="N24" i="14"/>
  <c r="L24" i="14"/>
  <c r="K24" i="14"/>
  <c r="G24" i="14"/>
  <c r="E24" i="14"/>
  <c r="C24" i="14"/>
  <c r="B24" i="14"/>
  <c r="P23" i="14"/>
  <c r="O23" i="14"/>
  <c r="N23" i="14"/>
  <c r="L23" i="14"/>
  <c r="K23" i="14"/>
  <c r="G23" i="14"/>
  <c r="E23" i="14"/>
  <c r="C23" i="14"/>
  <c r="B23" i="14"/>
  <c r="P22" i="14"/>
  <c r="O22" i="14"/>
  <c r="N22" i="14"/>
  <c r="L22" i="14"/>
  <c r="K22" i="14"/>
  <c r="G22" i="14"/>
  <c r="E22" i="14"/>
  <c r="C22" i="14"/>
  <c r="B22" i="14"/>
  <c r="P21" i="14"/>
  <c r="O21" i="14"/>
  <c r="N21" i="14"/>
  <c r="L21" i="14"/>
  <c r="K21" i="14"/>
  <c r="G21" i="14"/>
  <c r="E21" i="14"/>
  <c r="C21" i="14"/>
  <c r="B21" i="14"/>
  <c r="P20" i="14"/>
  <c r="O20" i="14"/>
  <c r="N20" i="14"/>
  <c r="L20" i="14"/>
  <c r="K20" i="14"/>
  <c r="G20" i="14"/>
  <c r="E20" i="14"/>
  <c r="C20" i="14"/>
  <c r="B20" i="14"/>
  <c r="P19" i="14"/>
  <c r="O19" i="14"/>
  <c r="N19" i="14"/>
  <c r="L19" i="14"/>
  <c r="K19" i="14"/>
  <c r="G19" i="14"/>
  <c r="E19" i="14"/>
  <c r="C19" i="14"/>
  <c r="B19" i="14"/>
  <c r="P18" i="14"/>
  <c r="O18" i="14"/>
  <c r="N18" i="14"/>
  <c r="L18" i="14"/>
  <c r="K18" i="14"/>
  <c r="G18" i="14"/>
  <c r="E18" i="14"/>
  <c r="C18" i="14"/>
  <c r="B18" i="14"/>
  <c r="P17" i="14"/>
  <c r="O17" i="14"/>
  <c r="N17" i="14"/>
  <c r="L17" i="14"/>
  <c r="K17" i="14"/>
  <c r="G17" i="14"/>
  <c r="E17" i="14"/>
  <c r="C17" i="14"/>
  <c r="B17" i="14"/>
  <c r="P16" i="14"/>
  <c r="O16" i="14"/>
  <c r="N16" i="14"/>
  <c r="L16" i="14"/>
  <c r="K16" i="14"/>
  <c r="G16" i="14"/>
  <c r="E16" i="14"/>
  <c r="C16" i="14"/>
  <c r="B16" i="14"/>
  <c r="P15" i="14"/>
  <c r="O15" i="14"/>
  <c r="N15" i="14"/>
  <c r="L15" i="14"/>
  <c r="K15" i="14"/>
  <c r="G15" i="14"/>
  <c r="E15" i="14"/>
  <c r="C15" i="14"/>
  <c r="B15" i="14"/>
  <c r="P14" i="14"/>
  <c r="O14" i="14"/>
  <c r="N14" i="14"/>
  <c r="L14" i="14"/>
  <c r="K14" i="14"/>
  <c r="G14" i="14"/>
  <c r="F14" i="14"/>
  <c r="E14" i="14"/>
  <c r="C14" i="14"/>
  <c r="B14" i="14"/>
  <c r="P13" i="14"/>
  <c r="O13" i="14"/>
  <c r="N13" i="14"/>
  <c r="L13" i="14"/>
  <c r="K13" i="14"/>
  <c r="G13" i="14"/>
  <c r="E13" i="14"/>
  <c r="C13" i="14"/>
  <c r="B13" i="14"/>
  <c r="P12" i="14"/>
  <c r="O12" i="14"/>
  <c r="N12" i="14"/>
  <c r="L12" i="14"/>
  <c r="K12" i="14"/>
  <c r="G12" i="14"/>
  <c r="E12" i="14"/>
  <c r="C12" i="14"/>
  <c r="B12" i="14"/>
  <c r="P11" i="14"/>
  <c r="O11" i="14"/>
  <c r="N11" i="14"/>
  <c r="L11" i="14"/>
  <c r="K11" i="14"/>
  <c r="G11" i="14"/>
  <c r="E11" i="14"/>
  <c r="C11" i="14"/>
  <c r="B11" i="14"/>
  <c r="P10" i="14"/>
  <c r="O10" i="14"/>
  <c r="N10" i="14"/>
  <c r="L10" i="14"/>
  <c r="K10" i="14"/>
  <c r="G10" i="14"/>
  <c r="E10" i="14"/>
  <c r="J10" i="14" s="1"/>
  <c r="C10" i="14"/>
  <c r="B10" i="14"/>
  <c r="P9" i="14"/>
  <c r="O9" i="14"/>
  <c r="N9" i="14"/>
  <c r="L9" i="14"/>
  <c r="K9" i="14"/>
  <c r="G9" i="14"/>
  <c r="E9" i="14"/>
  <c r="C9" i="14"/>
  <c r="B9" i="14"/>
  <c r="P8" i="14"/>
  <c r="O8" i="14"/>
  <c r="N8" i="14"/>
  <c r="L8" i="14"/>
  <c r="K8" i="14"/>
  <c r="G8" i="14"/>
  <c r="E8" i="14"/>
  <c r="C8" i="14"/>
  <c r="C4" i="14" s="1"/>
  <c r="B8" i="14"/>
  <c r="P7" i="14"/>
  <c r="O7" i="14"/>
  <c r="N7" i="14"/>
  <c r="L7" i="14"/>
  <c r="K7" i="14"/>
  <c r="G7" i="14"/>
  <c r="E7" i="14"/>
  <c r="C7" i="14"/>
  <c r="B7" i="14"/>
  <c r="P6" i="14"/>
  <c r="O6" i="14"/>
  <c r="N6" i="14"/>
  <c r="L6" i="14"/>
  <c r="K6" i="14"/>
  <c r="G6" i="14"/>
  <c r="E6" i="14"/>
  <c r="J6" i="14" s="1"/>
  <c r="C6" i="14"/>
  <c r="B6" i="14"/>
  <c r="P5" i="14"/>
  <c r="O5" i="14"/>
  <c r="N5" i="14"/>
  <c r="L5" i="14"/>
  <c r="K5" i="14"/>
  <c r="G5" i="14"/>
  <c r="E5" i="14"/>
  <c r="C5" i="14"/>
  <c r="B5" i="14"/>
  <c r="H4" i="14"/>
  <c r="P25" i="13"/>
  <c r="O25" i="13"/>
  <c r="N25" i="13"/>
  <c r="L25" i="13"/>
  <c r="K25" i="13"/>
  <c r="G25" i="13"/>
  <c r="E25" i="13"/>
  <c r="C25" i="13"/>
  <c r="B25" i="13"/>
  <c r="P24" i="13"/>
  <c r="O24" i="13"/>
  <c r="N24" i="13"/>
  <c r="L24" i="13"/>
  <c r="K24" i="13"/>
  <c r="G24" i="13"/>
  <c r="E24" i="13"/>
  <c r="C24" i="13"/>
  <c r="B24" i="13"/>
  <c r="P23" i="13"/>
  <c r="O23" i="13"/>
  <c r="N23" i="13"/>
  <c r="L23" i="13"/>
  <c r="K23" i="13"/>
  <c r="G23" i="13"/>
  <c r="E23" i="13"/>
  <c r="C23" i="13"/>
  <c r="B23" i="13"/>
  <c r="P22" i="13"/>
  <c r="O22" i="13"/>
  <c r="N22" i="13"/>
  <c r="L22" i="13"/>
  <c r="K22" i="13"/>
  <c r="G22" i="13"/>
  <c r="E22" i="13"/>
  <c r="C22" i="13"/>
  <c r="B22" i="13"/>
  <c r="P21" i="13"/>
  <c r="O21" i="13"/>
  <c r="N21" i="13"/>
  <c r="L21" i="13"/>
  <c r="K21" i="13"/>
  <c r="G21" i="13"/>
  <c r="E21" i="13"/>
  <c r="D21" i="13"/>
  <c r="C21" i="13"/>
  <c r="B21" i="13"/>
  <c r="P20" i="13"/>
  <c r="O20" i="13"/>
  <c r="N20" i="13"/>
  <c r="L20" i="13"/>
  <c r="K20" i="13"/>
  <c r="G20" i="13"/>
  <c r="E20" i="13"/>
  <c r="C20" i="13"/>
  <c r="B20" i="13"/>
  <c r="P19" i="13"/>
  <c r="O19" i="13"/>
  <c r="N19" i="13"/>
  <c r="L19" i="13"/>
  <c r="K19" i="13"/>
  <c r="G19" i="13"/>
  <c r="E19" i="13"/>
  <c r="C19" i="13"/>
  <c r="B19" i="13"/>
  <c r="P18" i="13"/>
  <c r="O18" i="13"/>
  <c r="N18" i="13"/>
  <c r="L18" i="13"/>
  <c r="K18" i="13"/>
  <c r="G18" i="13"/>
  <c r="E18" i="13"/>
  <c r="C18" i="13"/>
  <c r="B18" i="13"/>
  <c r="P17" i="13"/>
  <c r="O17" i="13"/>
  <c r="N17" i="13"/>
  <c r="L17" i="13"/>
  <c r="K17" i="13"/>
  <c r="G17" i="13"/>
  <c r="E17" i="13"/>
  <c r="J17" i="13" s="1"/>
  <c r="C17" i="13"/>
  <c r="B17" i="13"/>
  <c r="P16" i="13"/>
  <c r="O16" i="13"/>
  <c r="N16" i="13"/>
  <c r="L16" i="13"/>
  <c r="K16" i="13"/>
  <c r="G16" i="13"/>
  <c r="E16" i="13"/>
  <c r="C16" i="13"/>
  <c r="B16" i="13"/>
  <c r="P15" i="13"/>
  <c r="O15" i="13"/>
  <c r="N15" i="13"/>
  <c r="L15" i="13"/>
  <c r="K15" i="13"/>
  <c r="G15" i="13"/>
  <c r="E15" i="13"/>
  <c r="C15" i="13"/>
  <c r="B15" i="13"/>
  <c r="P14" i="13"/>
  <c r="O14" i="13"/>
  <c r="N14" i="13"/>
  <c r="L14" i="13"/>
  <c r="K14" i="13"/>
  <c r="G14" i="13"/>
  <c r="E14" i="13"/>
  <c r="C14" i="13"/>
  <c r="B14" i="13"/>
  <c r="P13" i="13"/>
  <c r="O13" i="13"/>
  <c r="N13" i="13"/>
  <c r="L13" i="13"/>
  <c r="K13" i="13"/>
  <c r="G13" i="13"/>
  <c r="E13" i="13"/>
  <c r="C13" i="13"/>
  <c r="B13" i="13"/>
  <c r="P12" i="13"/>
  <c r="O12" i="13"/>
  <c r="N12" i="13"/>
  <c r="L12" i="13"/>
  <c r="K12" i="13"/>
  <c r="G12" i="13"/>
  <c r="E12" i="13"/>
  <c r="C12" i="13"/>
  <c r="B12" i="13"/>
  <c r="P11" i="13"/>
  <c r="O11" i="13"/>
  <c r="N11" i="13"/>
  <c r="L11" i="13"/>
  <c r="K11" i="13"/>
  <c r="G11" i="13"/>
  <c r="E11" i="13"/>
  <c r="C11" i="13"/>
  <c r="B11" i="13"/>
  <c r="P10" i="13"/>
  <c r="O10" i="13"/>
  <c r="N10" i="13"/>
  <c r="L10" i="13"/>
  <c r="K10" i="13"/>
  <c r="G10" i="13"/>
  <c r="E10" i="13"/>
  <c r="C10" i="13"/>
  <c r="B10" i="13"/>
  <c r="P9" i="13"/>
  <c r="O9" i="13"/>
  <c r="N9" i="13"/>
  <c r="L9" i="13"/>
  <c r="K9" i="13"/>
  <c r="G9" i="13"/>
  <c r="E9" i="13"/>
  <c r="J9" i="13" s="1"/>
  <c r="C9" i="13"/>
  <c r="B9" i="13"/>
  <c r="P8" i="13"/>
  <c r="O8" i="13"/>
  <c r="N8" i="13"/>
  <c r="L8" i="13"/>
  <c r="K8" i="13"/>
  <c r="G8" i="13"/>
  <c r="E8" i="13"/>
  <c r="J8" i="13" s="1"/>
  <c r="C8" i="13"/>
  <c r="B8" i="13"/>
  <c r="P7" i="13"/>
  <c r="O7" i="13"/>
  <c r="N7" i="13"/>
  <c r="L7" i="13"/>
  <c r="K7" i="13"/>
  <c r="G7" i="13"/>
  <c r="E7" i="13"/>
  <c r="C7" i="13"/>
  <c r="B7" i="13"/>
  <c r="P6" i="13"/>
  <c r="O6" i="13"/>
  <c r="N6" i="13"/>
  <c r="L6" i="13"/>
  <c r="K6" i="13"/>
  <c r="G6" i="13"/>
  <c r="F6" i="13"/>
  <c r="E6" i="13"/>
  <c r="J6" i="13" s="1"/>
  <c r="C6" i="13"/>
  <c r="B6" i="13"/>
  <c r="P5" i="13"/>
  <c r="O5" i="13"/>
  <c r="N5" i="13"/>
  <c r="L5" i="13"/>
  <c r="K5" i="13"/>
  <c r="G5" i="13"/>
  <c r="E5" i="13"/>
  <c r="C5" i="13"/>
  <c r="B5" i="13"/>
  <c r="H4" i="13"/>
  <c r="P23" i="12"/>
  <c r="O23" i="12"/>
  <c r="N23" i="12"/>
  <c r="L23" i="12"/>
  <c r="K23" i="12"/>
  <c r="G23" i="12"/>
  <c r="E23" i="12"/>
  <c r="C23" i="12"/>
  <c r="B23" i="12"/>
  <c r="P22" i="12"/>
  <c r="O22" i="12"/>
  <c r="N22" i="12"/>
  <c r="L22" i="12"/>
  <c r="K22" i="12"/>
  <c r="G22" i="12"/>
  <c r="E22" i="12"/>
  <c r="C22" i="12"/>
  <c r="B22" i="12"/>
  <c r="P21" i="12"/>
  <c r="O21" i="12"/>
  <c r="N21" i="12"/>
  <c r="L21" i="12"/>
  <c r="K21" i="12"/>
  <c r="G21" i="12"/>
  <c r="E21" i="12"/>
  <c r="J21" i="12" s="1"/>
  <c r="C21" i="12"/>
  <c r="B21" i="12"/>
  <c r="P20" i="12"/>
  <c r="O20" i="12"/>
  <c r="N20" i="12"/>
  <c r="L20" i="12"/>
  <c r="K20" i="12"/>
  <c r="G20" i="12"/>
  <c r="E20" i="12"/>
  <c r="C20" i="12"/>
  <c r="B20" i="12"/>
  <c r="P19" i="12"/>
  <c r="O19" i="12"/>
  <c r="N19" i="12"/>
  <c r="L19" i="12"/>
  <c r="K19" i="12"/>
  <c r="G19" i="12"/>
  <c r="E19" i="12"/>
  <c r="C19" i="12"/>
  <c r="B19" i="12"/>
  <c r="P18" i="12"/>
  <c r="O18" i="12"/>
  <c r="N18" i="12"/>
  <c r="L18" i="12"/>
  <c r="K18" i="12"/>
  <c r="G18" i="12"/>
  <c r="E18" i="12"/>
  <c r="J18" i="12" s="1"/>
  <c r="C18" i="12"/>
  <c r="B18" i="12"/>
  <c r="P17" i="12"/>
  <c r="O17" i="12"/>
  <c r="N17" i="12"/>
  <c r="L17" i="12"/>
  <c r="K17" i="12"/>
  <c r="G17" i="12"/>
  <c r="E17" i="12"/>
  <c r="C17" i="12"/>
  <c r="B17" i="12"/>
  <c r="P16" i="12"/>
  <c r="O16" i="12"/>
  <c r="N16" i="12"/>
  <c r="L16" i="12"/>
  <c r="K16" i="12"/>
  <c r="G16" i="12"/>
  <c r="F16" i="12"/>
  <c r="E16" i="12"/>
  <c r="C16" i="12"/>
  <c r="B16" i="12"/>
  <c r="P15" i="12"/>
  <c r="O15" i="12"/>
  <c r="N15" i="12"/>
  <c r="L15" i="12"/>
  <c r="K15" i="12"/>
  <c r="G15" i="12"/>
  <c r="E15" i="12"/>
  <c r="D15" i="12"/>
  <c r="I15" i="12" s="1"/>
  <c r="C15" i="12"/>
  <c r="B15" i="12"/>
  <c r="P14" i="12"/>
  <c r="O14" i="12"/>
  <c r="N14" i="12"/>
  <c r="L14" i="12"/>
  <c r="K14" i="12"/>
  <c r="G14" i="12"/>
  <c r="E14" i="12"/>
  <c r="C14" i="12"/>
  <c r="B14" i="12"/>
  <c r="P13" i="12"/>
  <c r="O13" i="12"/>
  <c r="N13" i="12"/>
  <c r="L13" i="12"/>
  <c r="K13" i="12"/>
  <c r="G13" i="12"/>
  <c r="E13" i="12"/>
  <c r="C13" i="12"/>
  <c r="B13" i="12"/>
  <c r="P12" i="12"/>
  <c r="O12" i="12"/>
  <c r="N12" i="12"/>
  <c r="L12" i="12"/>
  <c r="K12" i="12"/>
  <c r="G12" i="12"/>
  <c r="F12" i="12"/>
  <c r="E12" i="12"/>
  <c r="J12" i="12" s="1"/>
  <c r="C12" i="12"/>
  <c r="B12" i="12"/>
  <c r="P11" i="12"/>
  <c r="O11" i="12"/>
  <c r="N11" i="12"/>
  <c r="L11" i="12"/>
  <c r="K11" i="12"/>
  <c r="G11" i="12"/>
  <c r="E11" i="12"/>
  <c r="C11" i="12"/>
  <c r="B11" i="12"/>
  <c r="P10" i="12"/>
  <c r="O10" i="12"/>
  <c r="N10" i="12"/>
  <c r="L10" i="12"/>
  <c r="K10" i="12"/>
  <c r="G10" i="12"/>
  <c r="E10" i="12"/>
  <c r="C10" i="12"/>
  <c r="B10" i="12"/>
  <c r="P9" i="12"/>
  <c r="O9" i="12"/>
  <c r="N9" i="12"/>
  <c r="L9" i="12"/>
  <c r="K9" i="12"/>
  <c r="G9" i="12"/>
  <c r="E9" i="12"/>
  <c r="C9" i="12"/>
  <c r="B9" i="12"/>
  <c r="P8" i="12"/>
  <c r="O8" i="12"/>
  <c r="N8" i="12"/>
  <c r="L8" i="12"/>
  <c r="K8" i="12"/>
  <c r="G8" i="12"/>
  <c r="E8" i="12"/>
  <c r="C8" i="12"/>
  <c r="B8" i="12"/>
  <c r="P7" i="12"/>
  <c r="O7" i="12"/>
  <c r="N7" i="12"/>
  <c r="L7" i="12"/>
  <c r="K7" i="12"/>
  <c r="G7" i="12"/>
  <c r="E7" i="12"/>
  <c r="C7" i="12"/>
  <c r="B7" i="12"/>
  <c r="P6" i="12"/>
  <c r="O6" i="12"/>
  <c r="N6" i="12"/>
  <c r="L6" i="12"/>
  <c r="K6" i="12"/>
  <c r="G6" i="12"/>
  <c r="E6" i="12"/>
  <c r="C6" i="12"/>
  <c r="B6" i="12"/>
  <c r="P5" i="12"/>
  <c r="O5" i="12"/>
  <c r="N5" i="12"/>
  <c r="L5" i="12"/>
  <c r="K5" i="12"/>
  <c r="G5" i="12"/>
  <c r="E5" i="12"/>
  <c r="C5" i="12"/>
  <c r="B5" i="12"/>
  <c r="H4" i="12"/>
  <c r="K2" i="12"/>
  <c r="P26" i="11"/>
  <c r="O26" i="11"/>
  <c r="N26" i="11"/>
  <c r="L26" i="11"/>
  <c r="K26" i="11"/>
  <c r="G26" i="11"/>
  <c r="E26" i="11"/>
  <c r="C26" i="11"/>
  <c r="B26" i="11"/>
  <c r="P25" i="11"/>
  <c r="O25" i="11"/>
  <c r="N25" i="11"/>
  <c r="L25" i="11"/>
  <c r="M25" i="11" s="1"/>
  <c r="K25" i="11"/>
  <c r="G25" i="11"/>
  <c r="E25" i="11"/>
  <c r="C25" i="11"/>
  <c r="B25" i="11"/>
  <c r="P24" i="11"/>
  <c r="O24" i="11"/>
  <c r="N24" i="11"/>
  <c r="L24" i="11"/>
  <c r="K24" i="11"/>
  <c r="M24" i="11" s="1"/>
  <c r="J24" i="11"/>
  <c r="G24" i="11"/>
  <c r="E24" i="11"/>
  <c r="C24" i="11"/>
  <c r="B24" i="11"/>
  <c r="P23" i="11"/>
  <c r="O23" i="11"/>
  <c r="N23" i="11"/>
  <c r="L23" i="11"/>
  <c r="K23" i="11"/>
  <c r="G23" i="11"/>
  <c r="E23" i="11"/>
  <c r="C23" i="11"/>
  <c r="B23" i="11"/>
  <c r="P22" i="11"/>
  <c r="O22" i="11"/>
  <c r="N22" i="11"/>
  <c r="L22" i="11"/>
  <c r="K22" i="11"/>
  <c r="G22" i="11"/>
  <c r="E22" i="11"/>
  <c r="J22" i="11" s="1"/>
  <c r="C22" i="11"/>
  <c r="B22" i="11"/>
  <c r="P21" i="11"/>
  <c r="O21" i="11"/>
  <c r="N21" i="11"/>
  <c r="L21" i="11"/>
  <c r="K21" i="11"/>
  <c r="G21" i="11"/>
  <c r="E21" i="11"/>
  <c r="C21" i="11"/>
  <c r="B21" i="11"/>
  <c r="P20" i="11"/>
  <c r="O20" i="11"/>
  <c r="N20" i="11"/>
  <c r="L20" i="11"/>
  <c r="K20" i="11"/>
  <c r="M20" i="11" s="1"/>
  <c r="G20" i="11"/>
  <c r="E20" i="11"/>
  <c r="C20" i="11"/>
  <c r="B20" i="11"/>
  <c r="P19" i="11"/>
  <c r="O19" i="11"/>
  <c r="N19" i="11"/>
  <c r="L19" i="11"/>
  <c r="K19" i="11"/>
  <c r="G19" i="11"/>
  <c r="E19" i="11"/>
  <c r="C19" i="11"/>
  <c r="B19" i="11"/>
  <c r="P18" i="11"/>
  <c r="O18" i="11"/>
  <c r="N18" i="11"/>
  <c r="L18" i="11"/>
  <c r="K18" i="11"/>
  <c r="G18" i="11"/>
  <c r="E18" i="11"/>
  <c r="J18" i="11" s="1"/>
  <c r="C18" i="11"/>
  <c r="B18" i="11"/>
  <c r="P17" i="11"/>
  <c r="O17" i="11"/>
  <c r="N17" i="11"/>
  <c r="L17" i="11"/>
  <c r="K17" i="11"/>
  <c r="G17" i="11"/>
  <c r="E17" i="11"/>
  <c r="C17" i="11"/>
  <c r="B17" i="11"/>
  <c r="P16" i="11"/>
  <c r="O16" i="11"/>
  <c r="N16" i="11"/>
  <c r="L16" i="11"/>
  <c r="K16" i="11"/>
  <c r="M16" i="11" s="1"/>
  <c r="G16" i="11"/>
  <c r="E16" i="11"/>
  <c r="C16" i="11"/>
  <c r="B16" i="11"/>
  <c r="P15" i="11"/>
  <c r="O15" i="11"/>
  <c r="N15" i="11"/>
  <c r="L15" i="11"/>
  <c r="M15" i="11" s="1"/>
  <c r="K15" i="11"/>
  <c r="G15" i="11"/>
  <c r="E15" i="11"/>
  <c r="C15" i="11"/>
  <c r="B15" i="11"/>
  <c r="P14" i="11"/>
  <c r="O14" i="11"/>
  <c r="N14" i="11"/>
  <c r="L14" i="11"/>
  <c r="K14" i="11"/>
  <c r="M14" i="11" s="1"/>
  <c r="G14" i="11"/>
  <c r="E14" i="11"/>
  <c r="J14" i="11" s="1"/>
  <c r="C14" i="11"/>
  <c r="B14" i="11"/>
  <c r="P13" i="11"/>
  <c r="O13" i="11"/>
  <c r="N13" i="11"/>
  <c r="L13" i="11"/>
  <c r="K13" i="11"/>
  <c r="G13" i="11"/>
  <c r="E13" i="11"/>
  <c r="C13" i="11"/>
  <c r="B13" i="11"/>
  <c r="P12" i="11"/>
  <c r="O12" i="11"/>
  <c r="N12" i="11"/>
  <c r="L12" i="11"/>
  <c r="K12" i="11"/>
  <c r="G12" i="11"/>
  <c r="E12" i="11"/>
  <c r="C12" i="11"/>
  <c r="B12" i="11"/>
  <c r="P11" i="11"/>
  <c r="O11" i="11"/>
  <c r="N11" i="11"/>
  <c r="L11" i="11"/>
  <c r="M11" i="11" s="1"/>
  <c r="K11" i="11"/>
  <c r="G11" i="11"/>
  <c r="E11" i="11"/>
  <c r="C11" i="11"/>
  <c r="B11" i="11"/>
  <c r="P10" i="11"/>
  <c r="O10" i="11"/>
  <c r="N10" i="11"/>
  <c r="L10" i="11"/>
  <c r="K10" i="11"/>
  <c r="G10" i="11"/>
  <c r="E10" i="11"/>
  <c r="J10" i="11" s="1"/>
  <c r="C10" i="11"/>
  <c r="B10" i="11"/>
  <c r="P9" i="11"/>
  <c r="O9" i="11"/>
  <c r="N9" i="11"/>
  <c r="L9" i="11"/>
  <c r="K9" i="11"/>
  <c r="G9" i="11"/>
  <c r="E9" i="11"/>
  <c r="C9" i="11"/>
  <c r="B9" i="11"/>
  <c r="P8" i="11"/>
  <c r="O8" i="11"/>
  <c r="N8" i="11"/>
  <c r="L8" i="11"/>
  <c r="K8" i="11"/>
  <c r="G8" i="11"/>
  <c r="E8" i="11"/>
  <c r="C8" i="11"/>
  <c r="B8" i="11"/>
  <c r="P7" i="11"/>
  <c r="O7" i="11"/>
  <c r="N7" i="11"/>
  <c r="L7" i="11"/>
  <c r="K7" i="11"/>
  <c r="G7" i="11"/>
  <c r="E7" i="11"/>
  <c r="C7" i="11"/>
  <c r="B7" i="11"/>
  <c r="P6" i="11"/>
  <c r="O6" i="11"/>
  <c r="N6" i="11"/>
  <c r="L6" i="11"/>
  <c r="K6" i="11"/>
  <c r="G6" i="11"/>
  <c r="E6" i="11"/>
  <c r="C6" i="11"/>
  <c r="B6" i="11"/>
  <c r="P5" i="11"/>
  <c r="O5" i="11"/>
  <c r="N5" i="11"/>
  <c r="L5" i="11"/>
  <c r="K5" i="11"/>
  <c r="G5" i="11"/>
  <c r="E5" i="11"/>
  <c r="J5" i="11" s="1"/>
  <c r="C5" i="11"/>
  <c r="B5" i="11"/>
  <c r="H4" i="11"/>
  <c r="A997" i="10"/>
  <c r="A65" i="10"/>
  <c r="L64" i="10"/>
  <c r="G64" i="10"/>
  <c r="B64" i="10"/>
  <c r="A64" i="10"/>
  <c r="H63" i="10"/>
  <c r="L63" i="10" s="1"/>
  <c r="C62" i="4" s="1"/>
  <c r="G63" i="10"/>
  <c r="F63" i="10"/>
  <c r="A63" i="10"/>
  <c r="L62" i="10"/>
  <c r="B62" i="10" s="1"/>
  <c r="H62" i="10"/>
  <c r="G62" i="10"/>
  <c r="A62" i="10"/>
  <c r="L61" i="10"/>
  <c r="H61" i="10"/>
  <c r="G61" i="10"/>
  <c r="B61" i="10"/>
  <c r="A61" i="10"/>
  <c r="H60" i="10"/>
  <c r="L60" i="10" s="1"/>
  <c r="G60" i="10"/>
  <c r="B60" i="10" s="1"/>
  <c r="A60" i="10"/>
  <c r="H59" i="10"/>
  <c r="L59" i="10" s="1"/>
  <c r="C58" i="4" s="1"/>
  <c r="G59" i="10"/>
  <c r="A59" i="10"/>
  <c r="L58" i="10"/>
  <c r="G58" i="10"/>
  <c r="B58" i="10" s="1"/>
  <c r="A58" i="10"/>
  <c r="L57" i="10"/>
  <c r="G57" i="10"/>
  <c r="F57" i="10"/>
  <c r="A57" i="10"/>
  <c r="L56" i="10"/>
  <c r="B56" i="10" s="1"/>
  <c r="G56" i="10"/>
  <c r="A56" i="10"/>
  <c r="L55" i="10"/>
  <c r="F55" i="10"/>
  <c r="G55" i="10" s="1"/>
  <c r="B55" i="10" s="1"/>
  <c r="A55" i="10"/>
  <c r="H54" i="10"/>
  <c r="L54" i="10" s="1"/>
  <c r="G54" i="10"/>
  <c r="B54" i="10" s="1"/>
  <c r="A54" i="10"/>
  <c r="H53" i="10"/>
  <c r="L53" i="10" s="1"/>
  <c r="G53" i="10"/>
  <c r="A53" i="10"/>
  <c r="L52" i="10"/>
  <c r="B52" i="10" s="1"/>
  <c r="H52" i="10"/>
  <c r="G52" i="10"/>
  <c r="A52" i="10"/>
  <c r="L51" i="10"/>
  <c r="H51" i="10"/>
  <c r="G51" i="10"/>
  <c r="B51" i="10"/>
  <c r="A51" i="10"/>
  <c r="L50" i="10"/>
  <c r="G50" i="10"/>
  <c r="B50" i="10"/>
  <c r="A50" i="10"/>
  <c r="L49" i="10"/>
  <c r="G49" i="10"/>
  <c r="B49" i="10"/>
  <c r="A49" i="10"/>
  <c r="L48" i="10"/>
  <c r="G48" i="10"/>
  <c r="B48" i="10"/>
  <c r="A48" i="10"/>
  <c r="L47" i="10"/>
  <c r="F47" i="10"/>
  <c r="G47" i="10" s="1"/>
  <c r="B47" i="10" s="1"/>
  <c r="A47" i="10"/>
  <c r="L46" i="10"/>
  <c r="G46" i="10"/>
  <c r="F46" i="10"/>
  <c r="A46" i="10"/>
  <c r="L45" i="10"/>
  <c r="B45" i="10" s="1"/>
  <c r="H45" i="10"/>
  <c r="G45" i="10"/>
  <c r="A45" i="10"/>
  <c r="L44" i="10"/>
  <c r="H44" i="10"/>
  <c r="F44" i="10"/>
  <c r="G44" i="10" s="1"/>
  <c r="B44" i="10" s="1"/>
  <c r="A44" i="10"/>
  <c r="L43" i="10"/>
  <c r="G43" i="10"/>
  <c r="B43" i="10" s="1"/>
  <c r="A43" i="10"/>
  <c r="L42" i="10"/>
  <c r="G42" i="10"/>
  <c r="B42" i="10" s="1"/>
  <c r="A42" i="10"/>
  <c r="L41" i="10"/>
  <c r="G41" i="10"/>
  <c r="B41" i="10" s="1"/>
  <c r="A41" i="10"/>
  <c r="H40" i="10"/>
  <c r="L40" i="10" s="1"/>
  <c r="G40" i="10"/>
  <c r="F40" i="10"/>
  <c r="A40" i="10"/>
  <c r="L39" i="10"/>
  <c r="B39" i="10" s="1"/>
  <c r="G39" i="10"/>
  <c r="A39" i="10"/>
  <c r="L38" i="10"/>
  <c r="B38" i="10" s="1"/>
  <c r="G38" i="10"/>
  <c r="A38" i="10"/>
  <c r="L37" i="10"/>
  <c r="B37" i="10" s="1"/>
  <c r="G37" i="10"/>
  <c r="A37" i="10"/>
  <c r="L36" i="10"/>
  <c r="H36" i="10"/>
  <c r="G36" i="10"/>
  <c r="B36" i="10"/>
  <c r="A36" i="10"/>
  <c r="H35" i="10"/>
  <c r="L35" i="10" s="1"/>
  <c r="G35" i="10"/>
  <c r="A35" i="10"/>
  <c r="H34" i="10"/>
  <c r="L34" i="10" s="1"/>
  <c r="G34" i="10"/>
  <c r="B34" i="10" s="1"/>
  <c r="A34" i="10"/>
  <c r="L33" i="10"/>
  <c r="B33" i="10" s="1"/>
  <c r="H33" i="10"/>
  <c r="G33" i="10"/>
  <c r="A33" i="10"/>
  <c r="L32" i="10"/>
  <c r="H32" i="10"/>
  <c r="G32" i="10"/>
  <c r="B32" i="10"/>
  <c r="A32" i="10"/>
  <c r="L31" i="10"/>
  <c r="F31" i="10"/>
  <c r="G31" i="10" s="1"/>
  <c r="B31" i="10" s="1"/>
  <c r="A31" i="10"/>
  <c r="L30" i="10"/>
  <c r="G30" i="10"/>
  <c r="B30" i="10" s="1"/>
  <c r="A30" i="10"/>
  <c r="H29" i="10"/>
  <c r="L29" i="10" s="1"/>
  <c r="G29" i="10"/>
  <c r="B29" i="10" s="1"/>
  <c r="A29" i="10"/>
  <c r="L28" i="10"/>
  <c r="G28" i="10"/>
  <c r="A28" i="10"/>
  <c r="L27" i="10"/>
  <c r="B27" i="10" s="1"/>
  <c r="H27" i="10"/>
  <c r="G27" i="10"/>
  <c r="A27" i="10"/>
  <c r="L26" i="10"/>
  <c r="B26" i="10" s="1"/>
  <c r="G26" i="10"/>
  <c r="A26" i="10"/>
  <c r="L25" i="10"/>
  <c r="H25" i="10"/>
  <c r="G25" i="10"/>
  <c r="B25" i="10"/>
  <c r="A25" i="10"/>
  <c r="H24" i="10"/>
  <c r="L24" i="10" s="1"/>
  <c r="G24" i="10"/>
  <c r="B24" i="10" s="1"/>
  <c r="A24" i="10"/>
  <c r="H23" i="10"/>
  <c r="L23" i="10" s="1"/>
  <c r="G23" i="10"/>
  <c r="A23" i="10"/>
  <c r="L22" i="10"/>
  <c r="B22" i="10" s="1"/>
  <c r="H22" i="10"/>
  <c r="G22" i="10"/>
  <c r="A22" i="10"/>
  <c r="L21" i="10"/>
  <c r="F21" i="10"/>
  <c r="G21" i="10" s="1"/>
  <c r="B21" i="10" s="1"/>
  <c r="A21" i="10"/>
  <c r="L20" i="10"/>
  <c r="F20" i="10"/>
  <c r="G20" i="10" s="1"/>
  <c r="B20" i="10" s="1"/>
  <c r="A20" i="10"/>
  <c r="L19" i="10"/>
  <c r="G19" i="10"/>
  <c r="B19" i="10" s="1"/>
  <c r="A19" i="10"/>
  <c r="L18" i="10"/>
  <c r="G18" i="10"/>
  <c r="B18" i="10" s="1"/>
  <c r="F18" i="10"/>
  <c r="A18" i="10"/>
  <c r="L17" i="10"/>
  <c r="G17" i="10"/>
  <c r="B17" i="10" s="1"/>
  <c r="A17" i="10"/>
  <c r="L16" i="10"/>
  <c r="G16" i="10"/>
  <c r="A16" i="10"/>
  <c r="L15" i="10"/>
  <c r="G15" i="10"/>
  <c r="A15" i="10"/>
  <c r="L14" i="10"/>
  <c r="G14" i="10"/>
  <c r="B14" i="10" s="1"/>
  <c r="A14" i="10"/>
  <c r="L13" i="10"/>
  <c r="G13" i="10"/>
  <c r="B13" i="10" s="1"/>
  <c r="A13" i="10"/>
  <c r="L12" i="10"/>
  <c r="G12" i="10"/>
  <c r="A12" i="10"/>
  <c r="L11" i="10"/>
  <c r="G11" i="10"/>
  <c r="A11" i="10"/>
  <c r="L10" i="10"/>
  <c r="G10" i="10"/>
  <c r="B10" i="10" s="1"/>
  <c r="F10" i="10"/>
  <c r="A10" i="10"/>
  <c r="L9" i="10"/>
  <c r="B9" i="10" s="1"/>
  <c r="G9" i="10"/>
  <c r="A9" i="10"/>
  <c r="L8" i="10"/>
  <c r="H8" i="10"/>
  <c r="G8" i="10"/>
  <c r="B8" i="10"/>
  <c r="A8" i="10"/>
  <c r="H7" i="10"/>
  <c r="L7" i="10" s="1"/>
  <c r="G7" i="10"/>
  <c r="B7" i="10" s="1"/>
  <c r="A7" i="10"/>
  <c r="L6" i="10"/>
  <c r="G6" i="10"/>
  <c r="B6" i="10" s="1"/>
  <c r="A6" i="10"/>
  <c r="L5" i="10"/>
  <c r="G5" i="10"/>
  <c r="B5" i="10" s="1"/>
  <c r="A5" i="10"/>
  <c r="L4" i="10"/>
  <c r="G4" i="10"/>
  <c r="B4" i="10" s="1"/>
  <c r="A4" i="10"/>
  <c r="L3" i="10"/>
  <c r="G3" i="10"/>
  <c r="B3" i="10" s="1"/>
  <c r="F3" i="10"/>
  <c r="A3" i="10"/>
  <c r="E100" i="9"/>
  <c r="D100" i="9"/>
  <c r="C100" i="9"/>
  <c r="B100" i="9"/>
  <c r="F100" i="9" s="1"/>
  <c r="E99" i="9"/>
  <c r="D99" i="9"/>
  <c r="C99" i="9"/>
  <c r="B99" i="9"/>
  <c r="F99" i="9" s="1"/>
  <c r="E98" i="9"/>
  <c r="D98" i="9"/>
  <c r="C98" i="9"/>
  <c r="B98" i="9"/>
  <c r="F98" i="9" s="1"/>
  <c r="E97" i="9"/>
  <c r="D97" i="9"/>
  <c r="C97" i="9"/>
  <c r="B97" i="9"/>
  <c r="E96" i="9"/>
  <c r="D96" i="9"/>
  <c r="C96" i="9"/>
  <c r="B96" i="9"/>
  <c r="F96" i="9" s="1"/>
  <c r="E95" i="9"/>
  <c r="D95" i="9"/>
  <c r="C95" i="9"/>
  <c r="B95" i="9"/>
  <c r="F95" i="9" s="1"/>
  <c r="E94" i="9"/>
  <c r="D94" i="9"/>
  <c r="C94" i="9"/>
  <c r="B94" i="9"/>
  <c r="F94" i="9" s="1"/>
  <c r="E93" i="9"/>
  <c r="D93" i="9"/>
  <c r="C93" i="9"/>
  <c r="B93" i="9"/>
  <c r="F93" i="9" s="1"/>
  <c r="E92" i="9"/>
  <c r="D92" i="9"/>
  <c r="C92" i="9"/>
  <c r="B92" i="9"/>
  <c r="F92" i="9" s="1"/>
  <c r="E91" i="9"/>
  <c r="D91" i="9"/>
  <c r="C91" i="9"/>
  <c r="B91" i="9"/>
  <c r="E90" i="9"/>
  <c r="D90" i="9"/>
  <c r="C90" i="9"/>
  <c r="B90" i="9"/>
  <c r="E89" i="9"/>
  <c r="D89" i="9"/>
  <c r="C89" i="9"/>
  <c r="B89" i="9"/>
  <c r="F89" i="9" s="1"/>
  <c r="E88" i="9"/>
  <c r="D88" i="9"/>
  <c r="C88" i="9"/>
  <c r="B88" i="9"/>
  <c r="F88" i="9" s="1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F84" i="9" s="1"/>
  <c r="C47" i="4" s="1"/>
  <c r="E83" i="9"/>
  <c r="D83" i="9"/>
  <c r="C83" i="9"/>
  <c r="B83" i="9"/>
  <c r="F83" i="9" s="1"/>
  <c r="C46" i="4" s="1"/>
  <c r="E82" i="9"/>
  <c r="D82" i="9"/>
  <c r="C82" i="9"/>
  <c r="B82" i="9"/>
  <c r="F82" i="9" s="1"/>
  <c r="E81" i="9"/>
  <c r="D81" i="9"/>
  <c r="C81" i="9"/>
  <c r="B81" i="9"/>
  <c r="F81" i="9" s="1"/>
  <c r="C44" i="4" s="1"/>
  <c r="E80" i="9"/>
  <c r="D80" i="9"/>
  <c r="C80" i="9"/>
  <c r="B80" i="9"/>
  <c r="F80" i="9" s="1"/>
  <c r="E79" i="9"/>
  <c r="D79" i="9"/>
  <c r="C79" i="9"/>
  <c r="B79" i="9"/>
  <c r="E78" i="9"/>
  <c r="D78" i="9"/>
  <c r="C78" i="9"/>
  <c r="B78" i="9"/>
  <c r="F78" i="9" s="1"/>
  <c r="E77" i="9"/>
  <c r="D77" i="9"/>
  <c r="C77" i="9"/>
  <c r="B77" i="9"/>
  <c r="E76" i="9"/>
  <c r="D76" i="9"/>
  <c r="C76" i="9"/>
  <c r="B76" i="9"/>
  <c r="F76" i="9" s="1"/>
  <c r="E75" i="9"/>
  <c r="D75" i="9"/>
  <c r="C75" i="9"/>
  <c r="B75" i="9"/>
  <c r="F75" i="9" s="1"/>
  <c r="E74" i="9"/>
  <c r="D74" i="9"/>
  <c r="C74" i="9"/>
  <c r="B74" i="9"/>
  <c r="E73" i="9"/>
  <c r="D73" i="9"/>
  <c r="C73" i="9"/>
  <c r="B73" i="9"/>
  <c r="F73" i="9" s="1"/>
  <c r="E72" i="9"/>
  <c r="D72" i="9"/>
  <c r="C72" i="9"/>
  <c r="B72" i="9"/>
  <c r="F72" i="9" s="1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F68" i="9" s="1"/>
  <c r="C31" i="4" s="1"/>
  <c r="E67" i="9"/>
  <c r="D67" i="9"/>
  <c r="C67" i="9"/>
  <c r="B67" i="9"/>
  <c r="F67" i="9" s="1"/>
  <c r="E66" i="9"/>
  <c r="D66" i="9"/>
  <c r="C66" i="9"/>
  <c r="B66" i="9"/>
  <c r="E65" i="9"/>
  <c r="D65" i="9"/>
  <c r="C65" i="9"/>
  <c r="B65" i="9"/>
  <c r="E64" i="9"/>
  <c r="D64" i="9"/>
  <c r="C64" i="9"/>
  <c r="B64" i="9"/>
  <c r="F64" i="9" s="1"/>
  <c r="C27" i="4" s="1"/>
  <c r="E63" i="9"/>
  <c r="D63" i="9"/>
  <c r="C63" i="9"/>
  <c r="B63" i="9"/>
  <c r="F63" i="9" s="1"/>
  <c r="C26" i="4" s="1"/>
  <c r="E62" i="9"/>
  <c r="C62" i="9"/>
  <c r="B62" i="9"/>
  <c r="F62" i="9" s="1"/>
  <c r="E61" i="9"/>
  <c r="D61" i="9"/>
  <c r="C61" i="9"/>
  <c r="B61" i="9"/>
  <c r="E60" i="9"/>
  <c r="D60" i="9"/>
  <c r="C60" i="9"/>
  <c r="B60" i="9"/>
  <c r="E59" i="9"/>
  <c r="D59" i="9"/>
  <c r="C59" i="9"/>
  <c r="B59" i="9"/>
  <c r="F59" i="9" s="1"/>
  <c r="C22" i="4" s="1"/>
  <c r="E58" i="9"/>
  <c r="C58" i="9"/>
  <c r="B58" i="9"/>
  <c r="F58" i="9" s="1"/>
  <c r="E57" i="9"/>
  <c r="D57" i="9"/>
  <c r="C57" i="9"/>
  <c r="B57" i="9"/>
  <c r="F57" i="9" s="1"/>
  <c r="E56" i="9"/>
  <c r="C56" i="9"/>
  <c r="B56" i="9"/>
  <c r="E55" i="9"/>
  <c r="D55" i="9"/>
  <c r="C55" i="9"/>
  <c r="B55" i="9"/>
  <c r="E54" i="9"/>
  <c r="C54" i="9"/>
  <c r="F54" i="9" s="1"/>
  <c r="B54" i="9"/>
  <c r="E53" i="9"/>
  <c r="D53" i="9"/>
  <c r="C53" i="9"/>
  <c r="B53" i="9"/>
  <c r="F53" i="9" s="1"/>
  <c r="E52" i="9"/>
  <c r="D52" i="9"/>
  <c r="C52" i="9"/>
  <c r="B52" i="9"/>
  <c r="F52" i="9" s="1"/>
  <c r="E51" i="9"/>
  <c r="D51" i="9"/>
  <c r="C51" i="9"/>
  <c r="B51" i="9"/>
  <c r="D50" i="9"/>
  <c r="C50" i="9"/>
  <c r="B50" i="9"/>
  <c r="F50" i="9" s="1"/>
  <c r="E49" i="9"/>
  <c r="D49" i="9"/>
  <c r="C49" i="9"/>
  <c r="B49" i="9"/>
  <c r="F49" i="9" s="1"/>
  <c r="C12" i="4" s="1"/>
  <c r="E48" i="9"/>
  <c r="D48" i="9"/>
  <c r="C48" i="9"/>
  <c r="B48" i="9"/>
  <c r="F48" i="9" s="1"/>
  <c r="C11" i="4" s="1"/>
  <c r="E47" i="9"/>
  <c r="D47" i="9"/>
  <c r="C47" i="9"/>
  <c r="B47" i="9"/>
  <c r="F47" i="9" s="1"/>
  <c r="E46" i="9"/>
  <c r="D46" i="9"/>
  <c r="C46" i="9"/>
  <c r="B46" i="9"/>
  <c r="C45" i="9"/>
  <c r="F45" i="9" s="1"/>
  <c r="F44" i="9"/>
  <c r="E44" i="9"/>
  <c r="C44" i="9"/>
  <c r="B44" i="9"/>
  <c r="F43" i="9"/>
  <c r="E43" i="9"/>
  <c r="C43" i="9"/>
  <c r="B43" i="9"/>
  <c r="F42" i="9"/>
  <c r="E42" i="9"/>
  <c r="C42" i="9"/>
  <c r="E41" i="9"/>
  <c r="D41" i="9"/>
  <c r="C41" i="9"/>
  <c r="B41" i="9"/>
  <c r="E40" i="9"/>
  <c r="D40" i="9"/>
  <c r="C40" i="9"/>
  <c r="B40" i="9"/>
  <c r="F40" i="9" s="1"/>
  <c r="C3" i="4" s="1"/>
  <c r="E39" i="9"/>
  <c r="D39" i="9"/>
  <c r="C39" i="9"/>
  <c r="B39" i="9"/>
  <c r="F39" i="9" s="1"/>
  <c r="J35" i="9"/>
  <c r="I35" i="9"/>
  <c r="J34" i="9"/>
  <c r="I34" i="9"/>
  <c r="AV33" i="9"/>
  <c r="AT33" i="9"/>
  <c r="AS33" i="9"/>
  <c r="AR33" i="9"/>
  <c r="AN33" i="9"/>
  <c r="AJ33" i="9"/>
  <c r="AH33" i="9"/>
  <c r="AG33" i="9"/>
  <c r="AF33" i="9"/>
  <c r="AB33" i="9"/>
  <c r="X33" i="9"/>
  <c r="V33" i="9"/>
  <c r="U33" i="9"/>
  <c r="T33" i="9"/>
  <c r="P33" i="9"/>
  <c r="L33" i="9"/>
  <c r="J33" i="9"/>
  <c r="I33" i="9"/>
  <c r="H33" i="9"/>
  <c r="C1" i="9" s="1"/>
  <c r="D33" i="9"/>
  <c r="AT32" i="9"/>
  <c r="AS32" i="9"/>
  <c r="AH32" i="9"/>
  <c r="AG32" i="9"/>
  <c r="V32" i="9"/>
  <c r="U32" i="9"/>
  <c r="J32" i="9"/>
  <c r="I32" i="9"/>
  <c r="AT31" i="9"/>
  <c r="AS31" i="9"/>
  <c r="AH31" i="9"/>
  <c r="AG31" i="9"/>
  <c r="V31" i="9"/>
  <c r="U31" i="9"/>
  <c r="J31" i="9"/>
  <c r="I31" i="9"/>
  <c r="AT30" i="9"/>
  <c r="AS30" i="9"/>
  <c r="AH30" i="9"/>
  <c r="AG30" i="9"/>
  <c r="V30" i="9"/>
  <c r="U30" i="9"/>
  <c r="J30" i="9"/>
  <c r="I30" i="9"/>
  <c r="V29" i="9"/>
  <c r="U29" i="9"/>
  <c r="J29" i="9"/>
  <c r="I29" i="9"/>
  <c r="AT28" i="9"/>
  <c r="AS28" i="9"/>
  <c r="J28" i="9"/>
  <c r="I28" i="9"/>
  <c r="AT27" i="9"/>
  <c r="AS27" i="9"/>
  <c r="AH27" i="9"/>
  <c r="AG27" i="9"/>
  <c r="V27" i="9"/>
  <c r="U27" i="9"/>
  <c r="J27" i="9"/>
  <c r="I27" i="9"/>
  <c r="AT26" i="9"/>
  <c r="AS26" i="9"/>
  <c r="AP26" i="9"/>
  <c r="AO26" i="9"/>
  <c r="AH26" i="9"/>
  <c r="AG26" i="9"/>
  <c r="V26" i="9"/>
  <c r="U26" i="9"/>
  <c r="J26" i="9"/>
  <c r="I26" i="9"/>
  <c r="AT25" i="9"/>
  <c r="AS25" i="9"/>
  <c r="AP25" i="9"/>
  <c r="AO25" i="9"/>
  <c r="AH25" i="9"/>
  <c r="AG25" i="9"/>
  <c r="AD25" i="9"/>
  <c r="AC25" i="9"/>
  <c r="V25" i="9"/>
  <c r="U25" i="9"/>
  <c r="R25" i="9"/>
  <c r="Q25" i="9"/>
  <c r="J25" i="9"/>
  <c r="I25" i="9"/>
  <c r="AT24" i="9"/>
  <c r="AS24" i="9"/>
  <c r="AP24" i="9"/>
  <c r="AO24" i="9"/>
  <c r="AH24" i="9"/>
  <c r="AG24" i="9"/>
  <c r="AD24" i="9"/>
  <c r="AC24" i="9"/>
  <c r="V24" i="9"/>
  <c r="U24" i="9"/>
  <c r="J24" i="9"/>
  <c r="I24" i="9"/>
  <c r="F24" i="9"/>
  <c r="E24" i="9"/>
  <c r="AT23" i="9"/>
  <c r="AS23" i="9"/>
  <c r="AP23" i="9"/>
  <c r="AO23" i="9"/>
  <c r="AH23" i="9"/>
  <c r="AG23" i="9"/>
  <c r="AD23" i="9"/>
  <c r="AC23" i="9"/>
  <c r="V23" i="9"/>
  <c r="U23" i="9"/>
  <c r="R23" i="9"/>
  <c r="Q23" i="9"/>
  <c r="J23" i="9"/>
  <c r="I23" i="9"/>
  <c r="F23" i="9"/>
  <c r="E23" i="9"/>
  <c r="AT22" i="9"/>
  <c r="AS22" i="9"/>
  <c r="AP22" i="9"/>
  <c r="AO22" i="9"/>
  <c r="AH22" i="9"/>
  <c r="AG22" i="9"/>
  <c r="AD22" i="9"/>
  <c r="AC22" i="9"/>
  <c r="V22" i="9"/>
  <c r="U22" i="9"/>
  <c r="R22" i="9"/>
  <c r="Q22" i="9"/>
  <c r="J22" i="9"/>
  <c r="I22" i="9"/>
  <c r="F22" i="9"/>
  <c r="E22" i="9"/>
  <c r="AT21" i="9"/>
  <c r="AS21" i="9"/>
  <c r="AP21" i="9"/>
  <c r="AO21" i="9"/>
  <c r="AL21" i="9"/>
  <c r="AK21" i="9"/>
  <c r="AH21" i="9"/>
  <c r="AG21" i="9"/>
  <c r="AD21" i="9"/>
  <c r="AC21" i="9"/>
  <c r="V21" i="9"/>
  <c r="U21" i="9"/>
  <c r="R21" i="9"/>
  <c r="Q21" i="9"/>
  <c r="N21" i="9"/>
  <c r="M21" i="9"/>
  <c r="J21" i="9"/>
  <c r="I21" i="9"/>
  <c r="F21" i="9"/>
  <c r="E21" i="9"/>
  <c r="AT20" i="9"/>
  <c r="AS20" i="9"/>
  <c r="AP20" i="9"/>
  <c r="AO20" i="9"/>
  <c r="AH20" i="9"/>
  <c r="AG20" i="9"/>
  <c r="AD20" i="9"/>
  <c r="AC20" i="9"/>
  <c r="Z20" i="9"/>
  <c r="Y20" i="9"/>
  <c r="V20" i="9"/>
  <c r="U20" i="9"/>
  <c r="R20" i="9"/>
  <c r="Q20" i="9"/>
  <c r="N20" i="9"/>
  <c r="M20" i="9"/>
  <c r="J20" i="9"/>
  <c r="I20" i="9"/>
  <c r="F20" i="9"/>
  <c r="E20" i="9"/>
  <c r="B20" i="9"/>
  <c r="A20" i="9"/>
  <c r="AT19" i="9"/>
  <c r="AS19" i="9"/>
  <c r="AP19" i="9"/>
  <c r="AO19" i="9"/>
  <c r="AL19" i="9"/>
  <c r="AK19" i="9"/>
  <c r="AH19" i="9"/>
  <c r="AG19" i="9"/>
  <c r="AD19" i="9"/>
  <c r="AC19" i="9"/>
  <c r="Z19" i="9"/>
  <c r="Y19" i="9"/>
  <c r="V19" i="9"/>
  <c r="U19" i="9"/>
  <c r="R19" i="9"/>
  <c r="Q19" i="9"/>
  <c r="N19" i="9"/>
  <c r="M19" i="9"/>
  <c r="J19" i="9"/>
  <c r="I19" i="9"/>
  <c r="F19" i="9"/>
  <c r="E19" i="9"/>
  <c r="B19" i="9"/>
  <c r="A19" i="9"/>
  <c r="AT18" i="9"/>
  <c r="AS18" i="9"/>
  <c r="AP18" i="9"/>
  <c r="AO18" i="9"/>
  <c r="AL18" i="9"/>
  <c r="AK18" i="9"/>
  <c r="AH18" i="9"/>
  <c r="AG18" i="9"/>
  <c r="AD18" i="9"/>
  <c r="AC18" i="9"/>
  <c r="Z18" i="9"/>
  <c r="Y18" i="9"/>
  <c r="V18" i="9"/>
  <c r="U18" i="9"/>
  <c r="R18" i="9"/>
  <c r="Q18" i="9"/>
  <c r="N18" i="9"/>
  <c r="M18" i="9"/>
  <c r="J18" i="9"/>
  <c r="I18" i="9"/>
  <c r="F18" i="9"/>
  <c r="E18" i="9"/>
  <c r="AT17" i="9"/>
  <c r="AS17" i="9"/>
  <c r="AP17" i="9"/>
  <c r="AO17" i="9"/>
  <c r="AL17" i="9"/>
  <c r="AK17" i="9"/>
  <c r="AH17" i="9"/>
  <c r="AG17" i="9"/>
  <c r="AD17" i="9"/>
  <c r="AC17" i="9"/>
  <c r="Z17" i="9"/>
  <c r="Y17" i="9"/>
  <c r="V17" i="9"/>
  <c r="U17" i="9"/>
  <c r="R17" i="9"/>
  <c r="Q17" i="9"/>
  <c r="N17" i="9"/>
  <c r="M17" i="9"/>
  <c r="J17" i="9"/>
  <c r="I17" i="9"/>
  <c r="F17" i="9"/>
  <c r="E17" i="9"/>
  <c r="B17" i="9"/>
  <c r="A17" i="9"/>
  <c r="AT16" i="9"/>
  <c r="AS16" i="9"/>
  <c r="AP16" i="9"/>
  <c r="AO16" i="9"/>
  <c r="AL16" i="9"/>
  <c r="AK16" i="9"/>
  <c r="AH16" i="9"/>
  <c r="AG16" i="9"/>
  <c r="AD16" i="9"/>
  <c r="AC16" i="9"/>
  <c r="Z16" i="9"/>
  <c r="Y16" i="9"/>
  <c r="V16" i="9"/>
  <c r="U16" i="9"/>
  <c r="R16" i="9"/>
  <c r="Q16" i="9"/>
  <c r="J16" i="9"/>
  <c r="I16" i="9"/>
  <c r="F16" i="9"/>
  <c r="E16" i="9"/>
  <c r="B16" i="9"/>
  <c r="A16" i="9"/>
  <c r="AT15" i="9"/>
  <c r="AS15" i="9"/>
  <c r="AP15" i="9"/>
  <c r="AO15" i="9"/>
  <c r="AH15" i="9"/>
  <c r="AG15" i="9"/>
  <c r="AD15" i="9"/>
  <c r="AC15" i="9"/>
  <c r="V15" i="9"/>
  <c r="U15" i="9"/>
  <c r="R15" i="9"/>
  <c r="Q15" i="9"/>
  <c r="N15" i="9"/>
  <c r="M15" i="9"/>
  <c r="J15" i="9"/>
  <c r="I15" i="9"/>
  <c r="F15" i="9"/>
  <c r="E15" i="9"/>
  <c r="B15" i="9"/>
  <c r="A15" i="9"/>
  <c r="AT14" i="9"/>
  <c r="AS14" i="9"/>
  <c r="AP14" i="9"/>
  <c r="AO14" i="9"/>
  <c r="AL14" i="9"/>
  <c r="AK14" i="9"/>
  <c r="AH14" i="9"/>
  <c r="AG14" i="9"/>
  <c r="AD14" i="9"/>
  <c r="AC14" i="9"/>
  <c r="Z14" i="9"/>
  <c r="Y14" i="9"/>
  <c r="V14" i="9"/>
  <c r="U14" i="9"/>
  <c r="R14" i="9"/>
  <c r="Q14" i="9"/>
  <c r="N14" i="9"/>
  <c r="M14" i="9"/>
  <c r="J14" i="9"/>
  <c r="I14" i="9"/>
  <c r="F14" i="9"/>
  <c r="E14" i="9"/>
  <c r="B14" i="9"/>
  <c r="A14" i="9"/>
  <c r="AT13" i="9"/>
  <c r="AS13" i="9"/>
  <c r="AP13" i="9"/>
  <c r="AO13" i="9"/>
  <c r="AL13" i="9"/>
  <c r="AK13" i="9"/>
  <c r="AH13" i="9"/>
  <c r="AG13" i="9"/>
  <c r="AD13" i="9"/>
  <c r="AC13" i="9"/>
  <c r="Z13" i="9"/>
  <c r="Y13" i="9"/>
  <c r="V13" i="9"/>
  <c r="U13" i="9"/>
  <c r="R13" i="9"/>
  <c r="Q13" i="9"/>
  <c r="N13" i="9"/>
  <c r="M13" i="9"/>
  <c r="J13" i="9"/>
  <c r="I13" i="9"/>
  <c r="F13" i="9"/>
  <c r="E13" i="9"/>
  <c r="B13" i="9"/>
  <c r="A13" i="9"/>
  <c r="AP12" i="9"/>
  <c r="AO12" i="9"/>
  <c r="AL12" i="9"/>
  <c r="AK12" i="9"/>
  <c r="AD12" i="9"/>
  <c r="AC12" i="9"/>
  <c r="Z12" i="9"/>
  <c r="Y12" i="9"/>
  <c r="R12" i="9"/>
  <c r="Q12" i="9"/>
  <c r="N12" i="9"/>
  <c r="M12" i="9"/>
  <c r="J12" i="9"/>
  <c r="I12" i="9"/>
  <c r="F12" i="9"/>
  <c r="E12" i="9"/>
  <c r="B12" i="9"/>
  <c r="A12" i="9"/>
  <c r="AT11" i="9"/>
  <c r="AS11" i="9"/>
  <c r="AP11" i="9"/>
  <c r="AO11" i="9"/>
  <c r="AL11" i="9"/>
  <c r="AK11" i="9"/>
  <c r="AH11" i="9"/>
  <c r="AG11" i="9"/>
  <c r="AD11" i="9"/>
  <c r="AC11" i="9"/>
  <c r="Z11" i="9"/>
  <c r="Y11" i="9"/>
  <c r="V11" i="9"/>
  <c r="U11" i="9"/>
  <c r="R11" i="9"/>
  <c r="Q11" i="9"/>
  <c r="N11" i="9"/>
  <c r="M11" i="9"/>
  <c r="J11" i="9"/>
  <c r="I11" i="9"/>
  <c r="F11" i="9"/>
  <c r="E11" i="9"/>
  <c r="B11" i="9"/>
  <c r="A11" i="9"/>
  <c r="AT10" i="9"/>
  <c r="AS10" i="9"/>
  <c r="AP10" i="9"/>
  <c r="AO10" i="9"/>
  <c r="AL10" i="9"/>
  <c r="AK10" i="9"/>
  <c r="AH10" i="9"/>
  <c r="AG10" i="9"/>
  <c r="AD10" i="9"/>
  <c r="AC10" i="9"/>
  <c r="Z10" i="9"/>
  <c r="Y10" i="9"/>
  <c r="V10" i="9"/>
  <c r="U10" i="9"/>
  <c r="R10" i="9"/>
  <c r="Q10" i="9"/>
  <c r="N10" i="9"/>
  <c r="M10" i="9"/>
  <c r="J10" i="9"/>
  <c r="I10" i="9"/>
  <c r="F10" i="9"/>
  <c r="E10" i="9"/>
  <c r="B10" i="9"/>
  <c r="A10" i="9"/>
  <c r="AT9" i="9"/>
  <c r="AS9" i="9"/>
  <c r="AP9" i="9"/>
  <c r="AO9" i="9"/>
  <c r="AL9" i="9"/>
  <c r="AK9" i="9"/>
  <c r="AH9" i="9"/>
  <c r="AG9" i="9"/>
  <c r="AD9" i="9"/>
  <c r="AC9" i="9"/>
  <c r="Z9" i="9"/>
  <c r="Y9" i="9"/>
  <c r="V9" i="9"/>
  <c r="U9" i="9"/>
  <c r="R9" i="9"/>
  <c r="Q9" i="9"/>
  <c r="N9" i="9"/>
  <c r="M9" i="9"/>
  <c r="J9" i="9"/>
  <c r="I9" i="9"/>
  <c r="F9" i="9"/>
  <c r="E9" i="9"/>
  <c r="B9" i="9"/>
  <c r="A9" i="9"/>
  <c r="AT8" i="9"/>
  <c r="AS8" i="9"/>
  <c r="AP8" i="9"/>
  <c r="AO8" i="9"/>
  <c r="AL8" i="9"/>
  <c r="AK8" i="9"/>
  <c r="AH8" i="9"/>
  <c r="AG8" i="9"/>
  <c r="AD8" i="9"/>
  <c r="AC8" i="9"/>
  <c r="Z8" i="9"/>
  <c r="Y8" i="9"/>
  <c r="V8" i="9"/>
  <c r="U8" i="9"/>
  <c r="R8" i="9"/>
  <c r="Q8" i="9"/>
  <c r="N8" i="9"/>
  <c r="M8" i="9"/>
  <c r="J8" i="9"/>
  <c r="I8" i="9"/>
  <c r="F8" i="9"/>
  <c r="E8" i="9"/>
  <c r="B8" i="9"/>
  <c r="A8" i="9"/>
  <c r="AT7" i="9"/>
  <c r="AS7" i="9"/>
  <c r="AP7" i="9"/>
  <c r="AO7" i="9"/>
  <c r="AL7" i="9"/>
  <c r="AK7" i="9"/>
  <c r="AH7" i="9"/>
  <c r="AG7" i="9"/>
  <c r="AD7" i="9"/>
  <c r="AC7" i="9"/>
  <c r="Z7" i="9"/>
  <c r="Y7" i="9"/>
  <c r="V7" i="9"/>
  <c r="U7" i="9"/>
  <c r="R7" i="9"/>
  <c r="Q7" i="9"/>
  <c r="N7" i="9"/>
  <c r="M7" i="9"/>
  <c r="J7" i="9"/>
  <c r="I7" i="9"/>
  <c r="F7" i="9"/>
  <c r="E7" i="9"/>
  <c r="AT6" i="9"/>
  <c r="AS6" i="9"/>
  <c r="AP6" i="9"/>
  <c r="AO6" i="9"/>
  <c r="AL6" i="9"/>
  <c r="AK6" i="9"/>
  <c r="AH6" i="9"/>
  <c r="AG6" i="9"/>
  <c r="AD6" i="9"/>
  <c r="AC6" i="9"/>
  <c r="Z6" i="9"/>
  <c r="Y6" i="9"/>
  <c r="V6" i="9"/>
  <c r="U6" i="9"/>
  <c r="R6" i="9"/>
  <c r="Q6" i="9"/>
  <c r="N6" i="9"/>
  <c r="M6" i="9"/>
  <c r="J6" i="9"/>
  <c r="I6" i="9"/>
  <c r="F6" i="9"/>
  <c r="E6" i="9"/>
  <c r="B6" i="9"/>
  <c r="A6" i="9"/>
  <c r="AT5" i="9"/>
  <c r="AS5" i="9"/>
  <c r="AP5" i="9"/>
  <c r="AO5" i="9"/>
  <c r="AL5" i="9"/>
  <c r="AK5" i="9"/>
  <c r="AH5" i="9"/>
  <c r="AG5" i="9"/>
  <c r="AD5" i="9"/>
  <c r="AC5" i="9"/>
  <c r="Z5" i="9"/>
  <c r="Y5" i="9"/>
  <c r="V5" i="9"/>
  <c r="U5" i="9"/>
  <c r="R5" i="9"/>
  <c r="Q5" i="9"/>
  <c r="N5" i="9"/>
  <c r="M5" i="9"/>
  <c r="J5" i="9"/>
  <c r="I5" i="9"/>
  <c r="F5" i="9"/>
  <c r="E5" i="9"/>
  <c r="B5" i="9"/>
  <c r="A5" i="9"/>
  <c r="AT4" i="9"/>
  <c r="AS4" i="9"/>
  <c r="AP4" i="9"/>
  <c r="AO4" i="9"/>
  <c r="AL4" i="9"/>
  <c r="AK4" i="9"/>
  <c r="AH4" i="9"/>
  <c r="AG4" i="9"/>
  <c r="AD4" i="9"/>
  <c r="AC4" i="9"/>
  <c r="Z4" i="9"/>
  <c r="Y4" i="9"/>
  <c r="V4" i="9"/>
  <c r="U4" i="9"/>
  <c r="R4" i="9"/>
  <c r="Q4" i="9"/>
  <c r="N4" i="9"/>
  <c r="M4" i="9"/>
  <c r="J4" i="9"/>
  <c r="I4" i="9"/>
  <c r="F4" i="9"/>
  <c r="C10" i="4" s="1"/>
  <c r="E4" i="9"/>
  <c r="B4" i="9"/>
  <c r="A4" i="9"/>
  <c r="E1" i="9"/>
  <c r="P28" i="8"/>
  <c r="O28" i="8"/>
  <c r="N28" i="8"/>
  <c r="L28" i="8"/>
  <c r="K28" i="8"/>
  <c r="G28" i="8"/>
  <c r="E28" i="8"/>
  <c r="D28" i="8"/>
  <c r="C28" i="8"/>
  <c r="B28" i="8"/>
  <c r="P27" i="8"/>
  <c r="O27" i="8"/>
  <c r="N27" i="8"/>
  <c r="L27" i="8"/>
  <c r="K27" i="8"/>
  <c r="G27" i="8"/>
  <c r="E27" i="8"/>
  <c r="C27" i="8"/>
  <c r="B27" i="8"/>
  <c r="P26" i="8"/>
  <c r="O26" i="8"/>
  <c r="N26" i="8"/>
  <c r="L26" i="8"/>
  <c r="K26" i="8"/>
  <c r="M26" i="8" s="1"/>
  <c r="G26" i="8"/>
  <c r="E26" i="8"/>
  <c r="J26" i="8" s="1"/>
  <c r="C26" i="8"/>
  <c r="B26" i="8"/>
  <c r="P25" i="8"/>
  <c r="O25" i="8"/>
  <c r="N25" i="8"/>
  <c r="L25" i="8"/>
  <c r="K25" i="8"/>
  <c r="G25" i="8"/>
  <c r="E25" i="8"/>
  <c r="C25" i="8"/>
  <c r="B25" i="8"/>
  <c r="P24" i="8"/>
  <c r="O24" i="8"/>
  <c r="N24" i="8"/>
  <c r="L24" i="8"/>
  <c r="K24" i="8"/>
  <c r="G24" i="8"/>
  <c r="E24" i="8"/>
  <c r="D24" i="8"/>
  <c r="C24" i="8"/>
  <c r="B24" i="8"/>
  <c r="P23" i="8"/>
  <c r="O23" i="8"/>
  <c r="N23" i="8"/>
  <c r="L23" i="8"/>
  <c r="K23" i="8"/>
  <c r="G23" i="8"/>
  <c r="E23" i="8"/>
  <c r="C23" i="8"/>
  <c r="B23" i="8"/>
  <c r="P22" i="8"/>
  <c r="O22" i="8"/>
  <c r="N22" i="8"/>
  <c r="L22" i="8"/>
  <c r="K22" i="8"/>
  <c r="G22" i="8"/>
  <c r="E22" i="8"/>
  <c r="C22" i="8"/>
  <c r="B22" i="8"/>
  <c r="P21" i="8"/>
  <c r="O21" i="8"/>
  <c r="N21" i="8"/>
  <c r="L21" i="8"/>
  <c r="K21" i="8"/>
  <c r="G21" i="8"/>
  <c r="F21" i="8"/>
  <c r="E21" i="8"/>
  <c r="C21" i="8"/>
  <c r="B21" i="8"/>
  <c r="P20" i="8"/>
  <c r="O20" i="8"/>
  <c r="N20" i="8"/>
  <c r="L20" i="8"/>
  <c r="K20" i="8"/>
  <c r="G20" i="8"/>
  <c r="E20" i="8"/>
  <c r="D20" i="8"/>
  <c r="C20" i="8"/>
  <c r="B20" i="8"/>
  <c r="P19" i="8"/>
  <c r="O19" i="8"/>
  <c r="N19" i="8"/>
  <c r="L19" i="8"/>
  <c r="K19" i="8"/>
  <c r="G19" i="8"/>
  <c r="E19" i="8"/>
  <c r="C19" i="8"/>
  <c r="B19" i="8"/>
  <c r="P18" i="8"/>
  <c r="O18" i="8"/>
  <c r="N18" i="8"/>
  <c r="L18" i="8"/>
  <c r="K18" i="8"/>
  <c r="G18" i="8"/>
  <c r="E18" i="8"/>
  <c r="C18" i="8"/>
  <c r="B18" i="8"/>
  <c r="P17" i="8"/>
  <c r="O17" i="8"/>
  <c r="N17" i="8"/>
  <c r="L17" i="8"/>
  <c r="K17" i="8"/>
  <c r="M17" i="8" s="1"/>
  <c r="G17" i="8"/>
  <c r="F17" i="8"/>
  <c r="E17" i="8"/>
  <c r="C17" i="8"/>
  <c r="B17" i="8"/>
  <c r="P16" i="8"/>
  <c r="O16" i="8"/>
  <c r="N16" i="8"/>
  <c r="L16" i="8"/>
  <c r="K16" i="8"/>
  <c r="G16" i="8"/>
  <c r="E16" i="8"/>
  <c r="D16" i="8"/>
  <c r="C16" i="8"/>
  <c r="B16" i="8"/>
  <c r="P15" i="8"/>
  <c r="O15" i="8"/>
  <c r="N15" i="8"/>
  <c r="L15" i="8"/>
  <c r="K15" i="8"/>
  <c r="G15" i="8"/>
  <c r="E15" i="8"/>
  <c r="C15" i="8"/>
  <c r="B15" i="8"/>
  <c r="P14" i="8"/>
  <c r="O14" i="8"/>
  <c r="N14" i="8"/>
  <c r="L14" i="8"/>
  <c r="K14" i="8"/>
  <c r="G14" i="8"/>
  <c r="E14" i="8"/>
  <c r="C14" i="8"/>
  <c r="B14" i="8"/>
  <c r="P13" i="8"/>
  <c r="O13" i="8"/>
  <c r="N13" i="8"/>
  <c r="L13" i="8"/>
  <c r="K13" i="8"/>
  <c r="G13" i="8"/>
  <c r="E13" i="8"/>
  <c r="J13" i="8" s="1"/>
  <c r="C13" i="8"/>
  <c r="B13" i="8"/>
  <c r="P12" i="8"/>
  <c r="O12" i="8"/>
  <c r="N12" i="8"/>
  <c r="L12" i="8"/>
  <c r="M12" i="8" s="1"/>
  <c r="K12" i="8"/>
  <c r="G12" i="8"/>
  <c r="E12" i="8"/>
  <c r="C12" i="8"/>
  <c r="B12" i="8"/>
  <c r="P11" i="8"/>
  <c r="O11" i="8"/>
  <c r="N11" i="8"/>
  <c r="L11" i="8"/>
  <c r="K11" i="8"/>
  <c r="G11" i="8"/>
  <c r="E11" i="8"/>
  <c r="C11" i="8"/>
  <c r="B11" i="8"/>
  <c r="P10" i="8"/>
  <c r="O10" i="8"/>
  <c r="N10" i="8"/>
  <c r="L10" i="8"/>
  <c r="K10" i="8"/>
  <c r="G10" i="8"/>
  <c r="E10" i="8"/>
  <c r="C10" i="8"/>
  <c r="B10" i="8"/>
  <c r="P9" i="8"/>
  <c r="O9" i="8"/>
  <c r="N9" i="8"/>
  <c r="L9" i="8"/>
  <c r="K9" i="8"/>
  <c r="G9" i="8"/>
  <c r="E9" i="8"/>
  <c r="J9" i="8" s="1"/>
  <c r="C9" i="8"/>
  <c r="B9" i="8"/>
  <c r="P8" i="8"/>
  <c r="O8" i="8"/>
  <c r="N8" i="8"/>
  <c r="L8" i="8"/>
  <c r="K8" i="8"/>
  <c r="G8" i="8"/>
  <c r="E8" i="8"/>
  <c r="D8" i="8"/>
  <c r="C8" i="8"/>
  <c r="B8" i="8"/>
  <c r="P7" i="8"/>
  <c r="O7" i="8"/>
  <c r="N7" i="8"/>
  <c r="L7" i="8"/>
  <c r="K7" i="8"/>
  <c r="G7" i="8"/>
  <c r="E7" i="8"/>
  <c r="C7" i="8"/>
  <c r="B7" i="8"/>
  <c r="P6" i="8"/>
  <c r="O6" i="8"/>
  <c r="N6" i="8"/>
  <c r="L6" i="8"/>
  <c r="K6" i="8"/>
  <c r="G6" i="8"/>
  <c r="E6" i="8"/>
  <c r="J6" i="8" s="1"/>
  <c r="C6" i="8"/>
  <c r="B6" i="8"/>
  <c r="P5" i="8"/>
  <c r="O5" i="8"/>
  <c r="N5" i="8"/>
  <c r="L5" i="8"/>
  <c r="K5" i="8"/>
  <c r="G5" i="8"/>
  <c r="F5" i="8"/>
  <c r="E5" i="8"/>
  <c r="J5" i="8" s="1"/>
  <c r="C5" i="8"/>
  <c r="B5" i="8"/>
  <c r="H4" i="8"/>
  <c r="P23" i="7"/>
  <c r="O23" i="7"/>
  <c r="N23" i="7"/>
  <c r="L23" i="7"/>
  <c r="K23" i="7"/>
  <c r="G23" i="7"/>
  <c r="E23" i="7"/>
  <c r="J23" i="7" s="1"/>
  <c r="C23" i="7"/>
  <c r="B23" i="7"/>
  <c r="P22" i="7"/>
  <c r="O22" i="7"/>
  <c r="N22" i="7"/>
  <c r="L22" i="7"/>
  <c r="K22" i="7"/>
  <c r="G22" i="7"/>
  <c r="E22" i="7"/>
  <c r="C22" i="7"/>
  <c r="B22" i="7"/>
  <c r="P21" i="7"/>
  <c r="O21" i="7"/>
  <c r="N21" i="7"/>
  <c r="L21" i="7"/>
  <c r="K21" i="7"/>
  <c r="G21" i="7"/>
  <c r="E21" i="7"/>
  <c r="C21" i="7"/>
  <c r="B21" i="7"/>
  <c r="P20" i="7"/>
  <c r="O20" i="7"/>
  <c r="N20" i="7"/>
  <c r="L20" i="7"/>
  <c r="K20" i="7"/>
  <c r="G20" i="7"/>
  <c r="E20" i="7"/>
  <c r="C20" i="7"/>
  <c r="B20" i="7"/>
  <c r="P19" i="7"/>
  <c r="O19" i="7"/>
  <c r="N19" i="7"/>
  <c r="L19" i="7"/>
  <c r="K19" i="7"/>
  <c r="G19" i="7"/>
  <c r="F19" i="7"/>
  <c r="E19" i="7"/>
  <c r="C19" i="7"/>
  <c r="B19" i="7"/>
  <c r="P18" i="7"/>
  <c r="O18" i="7"/>
  <c r="N18" i="7"/>
  <c r="L18" i="7"/>
  <c r="K18" i="7"/>
  <c r="G18" i="7"/>
  <c r="E18" i="7"/>
  <c r="C18" i="7"/>
  <c r="B18" i="7"/>
  <c r="P17" i="7"/>
  <c r="O17" i="7"/>
  <c r="N17" i="7"/>
  <c r="L17" i="7"/>
  <c r="K17" i="7"/>
  <c r="G17" i="7"/>
  <c r="E17" i="7"/>
  <c r="C17" i="7"/>
  <c r="B17" i="7"/>
  <c r="P16" i="7"/>
  <c r="O16" i="7"/>
  <c r="N16" i="7"/>
  <c r="L16" i="7"/>
  <c r="K16" i="7"/>
  <c r="G16" i="7"/>
  <c r="E16" i="7"/>
  <c r="D16" i="7"/>
  <c r="C16" i="7"/>
  <c r="B16" i="7"/>
  <c r="P15" i="7"/>
  <c r="O15" i="7"/>
  <c r="N15" i="7"/>
  <c r="L15" i="7"/>
  <c r="K15" i="7"/>
  <c r="G15" i="7"/>
  <c r="E15" i="7"/>
  <c r="J15" i="7" s="1"/>
  <c r="C15" i="7"/>
  <c r="B15" i="7"/>
  <c r="P14" i="7"/>
  <c r="O14" i="7"/>
  <c r="N14" i="7"/>
  <c r="L14" i="7"/>
  <c r="K14" i="7"/>
  <c r="G14" i="7"/>
  <c r="E14" i="7"/>
  <c r="C14" i="7"/>
  <c r="B14" i="7"/>
  <c r="P13" i="7"/>
  <c r="O13" i="7"/>
  <c r="N13" i="7"/>
  <c r="L13" i="7"/>
  <c r="K13" i="7"/>
  <c r="G13" i="7"/>
  <c r="F13" i="7"/>
  <c r="E13" i="7"/>
  <c r="C13" i="7"/>
  <c r="B13" i="7"/>
  <c r="P12" i="7"/>
  <c r="O12" i="7"/>
  <c r="N12" i="7"/>
  <c r="L12" i="7"/>
  <c r="K12" i="7"/>
  <c r="G12" i="7"/>
  <c r="E12" i="7"/>
  <c r="C12" i="7"/>
  <c r="B12" i="7"/>
  <c r="P11" i="7"/>
  <c r="O11" i="7"/>
  <c r="N11" i="7"/>
  <c r="L11" i="7"/>
  <c r="K11" i="7"/>
  <c r="G11" i="7"/>
  <c r="E11" i="7"/>
  <c r="C11" i="7"/>
  <c r="B11" i="7"/>
  <c r="P10" i="7"/>
  <c r="O10" i="7"/>
  <c r="N10" i="7"/>
  <c r="L10" i="7"/>
  <c r="K10" i="7"/>
  <c r="G10" i="7"/>
  <c r="E10" i="7"/>
  <c r="C10" i="7"/>
  <c r="B10" i="7"/>
  <c r="P9" i="7"/>
  <c r="O9" i="7"/>
  <c r="N9" i="7"/>
  <c r="L9" i="7"/>
  <c r="K9" i="7"/>
  <c r="G9" i="7"/>
  <c r="E9" i="7"/>
  <c r="C9" i="7"/>
  <c r="B9" i="7"/>
  <c r="P8" i="7"/>
  <c r="O8" i="7"/>
  <c r="N8" i="7"/>
  <c r="L8" i="7"/>
  <c r="K8" i="7"/>
  <c r="G8" i="7"/>
  <c r="F8" i="7"/>
  <c r="E8" i="7"/>
  <c r="D8" i="7"/>
  <c r="I8" i="7" s="1"/>
  <c r="C8" i="7"/>
  <c r="B8" i="7"/>
  <c r="P7" i="7"/>
  <c r="O7" i="7"/>
  <c r="N7" i="7"/>
  <c r="L7" i="7"/>
  <c r="K7" i="7"/>
  <c r="G7" i="7"/>
  <c r="E7" i="7"/>
  <c r="C7" i="7"/>
  <c r="B7" i="7"/>
  <c r="P6" i="7"/>
  <c r="O6" i="7"/>
  <c r="N6" i="7"/>
  <c r="L6" i="7"/>
  <c r="K6" i="7"/>
  <c r="M6" i="7" s="1"/>
  <c r="G6" i="7"/>
  <c r="E6" i="7"/>
  <c r="J6" i="7" s="1"/>
  <c r="C6" i="7"/>
  <c r="B6" i="7"/>
  <c r="P5" i="7"/>
  <c r="O5" i="7"/>
  <c r="N5" i="7"/>
  <c r="L5" i="7"/>
  <c r="K5" i="7"/>
  <c r="G5" i="7"/>
  <c r="E5" i="7"/>
  <c r="C5" i="7"/>
  <c r="B5" i="7"/>
  <c r="H4" i="7"/>
  <c r="D64" i="6"/>
  <c r="E64" i="6" s="1"/>
  <c r="A64" i="6"/>
  <c r="D63" i="6"/>
  <c r="E63" i="6" s="1"/>
  <c r="D62" i="6"/>
  <c r="E62" i="6" s="1"/>
  <c r="D61" i="6"/>
  <c r="E61" i="6" s="1"/>
  <c r="G60" i="6"/>
  <c r="I60" i="6" s="1"/>
  <c r="D60" i="6"/>
  <c r="D59" i="6"/>
  <c r="E59" i="6" s="1"/>
  <c r="A59" i="6"/>
  <c r="G58" i="6"/>
  <c r="D58" i="6"/>
  <c r="D57" i="6"/>
  <c r="E57" i="6" s="1"/>
  <c r="A57" i="6"/>
  <c r="D56" i="6"/>
  <c r="E56" i="6" s="1"/>
  <c r="D55" i="6"/>
  <c r="E55" i="6" s="1"/>
  <c r="D54" i="6"/>
  <c r="E54" i="6" s="1"/>
  <c r="A54" i="6"/>
  <c r="D53" i="6"/>
  <c r="D52" i="6"/>
  <c r="E52" i="6" s="1"/>
  <c r="D51" i="6"/>
  <c r="E51" i="6" s="1"/>
  <c r="D50" i="6"/>
  <c r="E50" i="6" s="1"/>
  <c r="D49" i="6"/>
  <c r="A49" i="6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A40" i="6"/>
  <c r="D39" i="6"/>
  <c r="E39" i="6" s="1"/>
  <c r="D38" i="6"/>
  <c r="D37" i="6"/>
  <c r="E37" i="6" s="1"/>
  <c r="D36" i="6"/>
  <c r="E36" i="6" s="1"/>
  <c r="D35" i="6"/>
  <c r="E35" i="6" s="1"/>
  <c r="D34" i="6"/>
  <c r="D33" i="6"/>
  <c r="E33" i="6" s="1"/>
  <c r="A33" i="6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A26" i="6"/>
  <c r="D25" i="6"/>
  <c r="D24" i="6"/>
  <c r="E24" i="6" s="1"/>
  <c r="D23" i="6"/>
  <c r="E23" i="6" s="1"/>
  <c r="D22" i="6"/>
  <c r="E22" i="6" s="1"/>
  <c r="D21" i="6"/>
  <c r="D20" i="6"/>
  <c r="E20" i="6" s="1"/>
  <c r="A20" i="6"/>
  <c r="D19" i="6"/>
  <c r="E19" i="6" s="1"/>
  <c r="D18" i="6"/>
  <c r="E18" i="6" s="1"/>
  <c r="E17" i="6"/>
  <c r="D17" i="6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E9" i="6"/>
  <c r="D9" i="6"/>
  <c r="D8" i="6"/>
  <c r="E8" i="6" s="1"/>
  <c r="D7" i="6"/>
  <c r="E7" i="6" s="1"/>
  <c r="A7" i="6"/>
  <c r="D6" i="6"/>
  <c r="D5" i="6"/>
  <c r="E5" i="6" s="1"/>
  <c r="D4" i="6"/>
  <c r="E4" i="6" s="1"/>
  <c r="D3" i="6"/>
  <c r="E3" i="6" s="1"/>
  <c r="A3" i="6"/>
  <c r="M2" i="6"/>
  <c r="J2" i="6"/>
  <c r="I2" i="6"/>
  <c r="F2" i="6"/>
  <c r="C2" i="6"/>
  <c r="G53" i="6"/>
  <c r="D23" i="12"/>
  <c r="I23" i="12" s="1"/>
  <c r="F21" i="7"/>
  <c r="G47" i="6"/>
  <c r="I47" i="6" s="1"/>
  <c r="F13" i="8"/>
  <c r="G34" i="6"/>
  <c r="G25" i="6"/>
  <c r="D12" i="7"/>
  <c r="I12" i="7" s="1"/>
  <c r="I3" i="5"/>
  <c r="E3" i="5"/>
  <c r="D5" i="13" s="1"/>
  <c r="A3" i="5"/>
  <c r="A2" i="5" s="1"/>
  <c r="O2" i="5"/>
  <c r="L2" i="5"/>
  <c r="K2" i="5"/>
  <c r="H2" i="5"/>
  <c r="D2" i="5"/>
  <c r="C2" i="5"/>
  <c r="A996" i="4"/>
  <c r="C63" i="4"/>
  <c r="B63" i="4"/>
  <c r="A63" i="4"/>
  <c r="B62" i="4"/>
  <c r="A62" i="4"/>
  <c r="C61" i="4"/>
  <c r="B61" i="4"/>
  <c r="A61" i="4"/>
  <c r="B60" i="4"/>
  <c r="A60" i="4"/>
  <c r="C59" i="4"/>
  <c r="A59" i="4"/>
  <c r="B58" i="4"/>
  <c r="A58" i="4"/>
  <c r="C57" i="4"/>
  <c r="B57" i="4"/>
  <c r="A57" i="4"/>
  <c r="C56" i="4"/>
  <c r="B56" i="4"/>
  <c r="A56" i="4"/>
  <c r="C55" i="4"/>
  <c r="A55" i="4"/>
  <c r="B54" i="4"/>
  <c r="A54" i="4"/>
  <c r="B53" i="4"/>
  <c r="A53" i="4"/>
  <c r="C52" i="4"/>
  <c r="B52" i="4"/>
  <c r="A52" i="4"/>
  <c r="C51" i="4"/>
  <c r="A51" i="4"/>
  <c r="B50" i="4"/>
  <c r="A50" i="4"/>
  <c r="B49" i="4"/>
  <c r="A49" i="4"/>
  <c r="A48" i="4"/>
  <c r="B47" i="4"/>
  <c r="A47" i="4"/>
  <c r="B46" i="4"/>
  <c r="A46" i="4"/>
  <c r="C45" i="4"/>
  <c r="A45" i="4"/>
  <c r="A44" i="4"/>
  <c r="C43" i="4"/>
  <c r="B43" i="4"/>
  <c r="A43" i="4"/>
  <c r="B42" i="4"/>
  <c r="A42" i="4"/>
  <c r="C41" i="4"/>
  <c r="A41" i="4"/>
  <c r="B40" i="4"/>
  <c r="A40" i="4"/>
  <c r="C39" i="4"/>
  <c r="B39" i="4"/>
  <c r="A39" i="4"/>
  <c r="C38" i="4"/>
  <c r="B38" i="4"/>
  <c r="A38" i="4"/>
  <c r="B37" i="4"/>
  <c r="A37" i="4"/>
  <c r="C36" i="4"/>
  <c r="B36" i="4"/>
  <c r="A36" i="4"/>
  <c r="C35" i="4"/>
  <c r="B35" i="4"/>
  <c r="A35" i="4"/>
  <c r="B34" i="4"/>
  <c r="A34" i="4"/>
  <c r="B33" i="4"/>
  <c r="A33" i="4"/>
  <c r="B32" i="4"/>
  <c r="A32" i="4"/>
  <c r="B31" i="4"/>
  <c r="A31" i="4"/>
  <c r="C30" i="4"/>
  <c r="A30" i="4"/>
  <c r="B29" i="4"/>
  <c r="A29" i="4"/>
  <c r="B28" i="4"/>
  <c r="A28" i="4"/>
  <c r="B27" i="4"/>
  <c r="A27" i="4"/>
  <c r="A26" i="4"/>
  <c r="C25" i="4"/>
  <c r="A25" i="4"/>
  <c r="B24" i="4"/>
  <c r="A24" i="4"/>
  <c r="B23" i="4"/>
  <c r="A23" i="4"/>
  <c r="B22" i="4"/>
  <c r="A22" i="4"/>
  <c r="C21" i="4"/>
  <c r="B21" i="4"/>
  <c r="A21" i="4"/>
  <c r="C20" i="4"/>
  <c r="B20" i="4"/>
  <c r="A20" i="4"/>
  <c r="A19" i="4"/>
  <c r="B18" i="4"/>
  <c r="A18" i="4"/>
  <c r="C17" i="4"/>
  <c r="B17" i="4"/>
  <c r="A17" i="4"/>
  <c r="C16" i="4"/>
  <c r="B16" i="4"/>
  <c r="A16" i="4"/>
  <c r="C15" i="4"/>
  <c r="B15" i="4"/>
  <c r="A15" i="4"/>
  <c r="B14" i="4"/>
  <c r="A14" i="4"/>
  <c r="C13" i="4"/>
  <c r="B13" i="4"/>
  <c r="A13" i="4"/>
  <c r="B12" i="4"/>
  <c r="A12" i="4"/>
  <c r="B11" i="4"/>
  <c r="A11" i="4"/>
  <c r="B10" i="4"/>
  <c r="A10" i="4"/>
  <c r="B9" i="4"/>
  <c r="A9" i="4"/>
  <c r="C8" i="4"/>
  <c r="A8" i="4"/>
  <c r="C7" i="4"/>
  <c r="B7" i="4"/>
  <c r="A7" i="4"/>
  <c r="C6" i="4"/>
  <c r="B6" i="4"/>
  <c r="A6" i="4"/>
  <c r="C5" i="4"/>
  <c r="B5" i="4"/>
  <c r="A5" i="4"/>
  <c r="B4" i="4"/>
  <c r="A4" i="4"/>
  <c r="B3" i="4"/>
  <c r="A3" i="4"/>
  <c r="C2" i="4"/>
  <c r="B2" i="4"/>
  <c r="A2" i="4"/>
  <c r="C64" i="3"/>
  <c r="E64" i="3" s="1"/>
  <c r="B64" i="3"/>
  <c r="C63" i="3"/>
  <c r="E63" i="3" s="1"/>
  <c r="B63" i="3"/>
  <c r="C62" i="3"/>
  <c r="E62" i="3" s="1"/>
  <c r="B62" i="3"/>
  <c r="C61" i="3"/>
  <c r="E61" i="3" s="1"/>
  <c r="B61" i="3"/>
  <c r="C60" i="3"/>
  <c r="E60" i="3" s="1"/>
  <c r="B60" i="3"/>
  <c r="C59" i="3"/>
  <c r="E59" i="3" s="1"/>
  <c r="B59" i="3"/>
  <c r="C58" i="3"/>
  <c r="E58" i="3" s="1"/>
  <c r="B58" i="3"/>
  <c r="C57" i="3"/>
  <c r="E57" i="3" s="1"/>
  <c r="B57" i="3"/>
  <c r="C56" i="3"/>
  <c r="E56" i="3" s="1"/>
  <c r="B56" i="3"/>
  <c r="C55" i="3"/>
  <c r="E55" i="3" s="1"/>
  <c r="B55" i="3"/>
  <c r="C54" i="3"/>
  <c r="E54" i="3" s="1"/>
  <c r="B54" i="3"/>
  <c r="C53" i="3"/>
  <c r="E53" i="3" s="1"/>
  <c r="B53" i="3"/>
  <c r="C52" i="3"/>
  <c r="E52" i="3" s="1"/>
  <c r="B52" i="3"/>
  <c r="C51" i="3"/>
  <c r="E51" i="3" s="1"/>
  <c r="B51" i="3"/>
  <c r="C50" i="3"/>
  <c r="E50" i="3" s="1"/>
  <c r="B50" i="3"/>
  <c r="C49" i="3"/>
  <c r="E49" i="3" s="1"/>
  <c r="B49" i="3"/>
  <c r="C48" i="3"/>
  <c r="E48" i="3" s="1"/>
  <c r="B48" i="3"/>
  <c r="C47" i="3"/>
  <c r="E47" i="3" s="1"/>
  <c r="B47" i="3"/>
  <c r="C46" i="3"/>
  <c r="E46" i="3" s="1"/>
  <c r="B46" i="3"/>
  <c r="C45" i="3"/>
  <c r="E45" i="3" s="1"/>
  <c r="B45" i="3"/>
  <c r="C44" i="3"/>
  <c r="E44" i="3" s="1"/>
  <c r="B44" i="3"/>
  <c r="C43" i="3"/>
  <c r="E43" i="3" s="1"/>
  <c r="B43" i="3"/>
  <c r="C42" i="3"/>
  <c r="E42" i="3" s="1"/>
  <c r="B42" i="3"/>
  <c r="C41" i="3"/>
  <c r="E41" i="3" s="1"/>
  <c r="B41" i="3"/>
  <c r="C40" i="3"/>
  <c r="E40" i="3" s="1"/>
  <c r="B40" i="3"/>
  <c r="C39" i="3"/>
  <c r="E39" i="3" s="1"/>
  <c r="B39" i="3"/>
  <c r="C38" i="3"/>
  <c r="E38" i="3" s="1"/>
  <c r="B38" i="3"/>
  <c r="C37" i="3"/>
  <c r="E37" i="3" s="1"/>
  <c r="B37" i="3"/>
  <c r="C36" i="3"/>
  <c r="E36" i="3" s="1"/>
  <c r="B36" i="3"/>
  <c r="C35" i="3"/>
  <c r="E35" i="3" s="1"/>
  <c r="B35" i="3"/>
  <c r="C34" i="3"/>
  <c r="E34" i="3" s="1"/>
  <c r="B34" i="3"/>
  <c r="C33" i="3"/>
  <c r="E33" i="3" s="1"/>
  <c r="B33" i="3"/>
  <c r="C32" i="3"/>
  <c r="E32" i="3" s="1"/>
  <c r="B32" i="3"/>
  <c r="C31" i="3"/>
  <c r="E31" i="3" s="1"/>
  <c r="B31" i="3"/>
  <c r="C30" i="3"/>
  <c r="E30" i="3" s="1"/>
  <c r="B30" i="3"/>
  <c r="C29" i="3"/>
  <c r="E29" i="3" s="1"/>
  <c r="B29" i="3"/>
  <c r="C28" i="3"/>
  <c r="E28" i="3" s="1"/>
  <c r="B28" i="3"/>
  <c r="C27" i="3"/>
  <c r="E27" i="3" s="1"/>
  <c r="B27" i="3"/>
  <c r="C26" i="3"/>
  <c r="E26" i="3" s="1"/>
  <c r="B26" i="3"/>
  <c r="C25" i="3"/>
  <c r="E25" i="3" s="1"/>
  <c r="B25" i="3"/>
  <c r="C24" i="3"/>
  <c r="E24" i="3" s="1"/>
  <c r="B24" i="3"/>
  <c r="C23" i="3"/>
  <c r="E23" i="3" s="1"/>
  <c r="B23" i="3"/>
  <c r="C22" i="3"/>
  <c r="E22" i="3" s="1"/>
  <c r="B22" i="3"/>
  <c r="C21" i="3"/>
  <c r="E21" i="3" s="1"/>
  <c r="B21" i="3"/>
  <c r="C20" i="3"/>
  <c r="E20" i="3" s="1"/>
  <c r="B20" i="3"/>
  <c r="C19" i="3"/>
  <c r="E19" i="3" s="1"/>
  <c r="B19" i="3"/>
  <c r="C18" i="3"/>
  <c r="E18" i="3" s="1"/>
  <c r="B18" i="3"/>
  <c r="C17" i="3"/>
  <c r="E17" i="3" s="1"/>
  <c r="B17" i="3"/>
  <c r="C16" i="3"/>
  <c r="E16" i="3" s="1"/>
  <c r="B16" i="3"/>
  <c r="C15" i="3"/>
  <c r="E15" i="3" s="1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C10" i="3"/>
  <c r="E10" i="3" s="1"/>
  <c r="B10" i="3"/>
  <c r="C9" i="3"/>
  <c r="E9" i="3" s="1"/>
  <c r="B9" i="3"/>
  <c r="C8" i="3"/>
  <c r="E8" i="3" s="1"/>
  <c r="B8" i="3"/>
  <c r="C7" i="3"/>
  <c r="E7" i="3" s="1"/>
  <c r="B7" i="3"/>
  <c r="C6" i="3"/>
  <c r="E6" i="3" s="1"/>
  <c r="B6" i="3"/>
  <c r="C5" i="3"/>
  <c r="E5" i="3" s="1"/>
  <c r="B5" i="3"/>
  <c r="C4" i="3"/>
  <c r="E4" i="3" s="1"/>
  <c r="B4" i="3"/>
  <c r="C3" i="3"/>
  <c r="E3" i="3" s="1"/>
  <c r="B3" i="3"/>
  <c r="M3" i="2"/>
  <c r="L3" i="2"/>
  <c r="K3" i="2"/>
  <c r="J3" i="2"/>
  <c r="I3" i="2"/>
  <c r="H3" i="2"/>
  <c r="G3" i="2"/>
  <c r="F3" i="2"/>
  <c r="E3" i="2"/>
  <c r="D3" i="2"/>
  <c r="C3" i="2"/>
  <c r="B3" i="2"/>
  <c r="N3" i="2" s="1"/>
  <c r="M2" i="2"/>
  <c r="L2" i="2"/>
  <c r="K2" i="2"/>
  <c r="J2" i="2"/>
  <c r="N2" i="2" s="1"/>
  <c r="G139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3" i="1"/>
  <c r="F3" i="1" s="1"/>
  <c r="C4" i="1" s="1"/>
  <c r="E4" i="1" s="1"/>
  <c r="F4" i="1" s="1"/>
  <c r="C5" i="1" s="1"/>
  <c r="E5" i="1" s="1"/>
  <c r="F5" i="1" s="1"/>
  <c r="C6" i="1" s="1"/>
  <c r="E6" i="1" s="1"/>
  <c r="I2" i="1"/>
  <c r="F2" i="1"/>
  <c r="C3" i="1" s="1"/>
  <c r="E2" i="1"/>
  <c r="C2" i="1"/>
  <c r="F13" i="3" l="1"/>
  <c r="G13" i="3" s="1"/>
  <c r="F39" i="3"/>
  <c r="G39" i="3" s="1"/>
  <c r="F55" i="3"/>
  <c r="G55" i="3" s="1"/>
  <c r="F57" i="3"/>
  <c r="G57" i="3" s="1"/>
  <c r="F60" i="6"/>
  <c r="J9" i="7"/>
  <c r="J13" i="7"/>
  <c r="M14" i="7"/>
  <c r="J22" i="7"/>
  <c r="J12" i="8"/>
  <c r="I16" i="8"/>
  <c r="M16" i="8"/>
  <c r="I24" i="8"/>
  <c r="M24" i="8"/>
  <c r="J27" i="8"/>
  <c r="M28" i="8"/>
  <c r="M8" i="11"/>
  <c r="J6" i="12"/>
  <c r="J16" i="12"/>
  <c r="J23" i="12"/>
  <c r="J14" i="13"/>
  <c r="M19" i="13"/>
  <c r="M22" i="13"/>
  <c r="J7" i="14"/>
  <c r="M8" i="14"/>
  <c r="J11" i="14"/>
  <c r="M12" i="14"/>
  <c r="M15" i="14"/>
  <c r="M19" i="14"/>
  <c r="M23" i="14"/>
  <c r="M6" i="15"/>
  <c r="J13" i="15"/>
  <c r="J21" i="15"/>
  <c r="J6" i="16"/>
  <c r="C4" i="16"/>
  <c r="M11" i="16"/>
  <c r="J14" i="16"/>
  <c r="M15" i="16"/>
  <c r="J22" i="16"/>
  <c r="J15" i="17"/>
  <c r="M20" i="17"/>
  <c r="J8" i="18"/>
  <c r="M12" i="18"/>
  <c r="J18" i="18"/>
  <c r="J26" i="18"/>
  <c r="J5" i="19"/>
  <c r="J10" i="20"/>
  <c r="J24" i="20"/>
  <c r="J8" i="11"/>
  <c r="J16" i="11"/>
  <c r="J7" i="12"/>
  <c r="J14" i="12"/>
  <c r="J20" i="12"/>
  <c r="J7" i="13"/>
  <c r="J19" i="13"/>
  <c r="J10" i="15"/>
  <c r="J18" i="15"/>
  <c r="J26" i="15"/>
  <c r="J12" i="17"/>
  <c r="J20" i="17"/>
  <c r="J12" i="18"/>
  <c r="M28" i="18"/>
  <c r="G4" i="19"/>
  <c r="M9" i="19"/>
  <c r="J12" i="19"/>
  <c r="J16" i="19"/>
  <c r="J20" i="19"/>
  <c r="J24" i="19"/>
  <c r="J28" i="19"/>
  <c r="J7" i="20"/>
  <c r="J11" i="20"/>
  <c r="J21" i="20"/>
  <c r="F6" i="3"/>
  <c r="G6" i="3" s="1"/>
  <c r="F8" i="3"/>
  <c r="G8" i="3" s="1"/>
  <c r="F12" i="3"/>
  <c r="G12" i="3" s="1"/>
  <c r="J11" i="7"/>
  <c r="J17" i="7"/>
  <c r="J7" i="8"/>
  <c r="C4" i="8"/>
  <c r="I20" i="8"/>
  <c r="M9" i="13"/>
  <c r="M17" i="13"/>
  <c r="J17" i="14"/>
  <c r="J21" i="14"/>
  <c r="J7" i="15"/>
  <c r="M8" i="15"/>
  <c r="M16" i="15"/>
  <c r="J23" i="15"/>
  <c r="M6" i="17"/>
  <c r="J9" i="17"/>
  <c r="M10" i="17"/>
  <c r="J17" i="17"/>
  <c r="J24" i="18"/>
  <c r="J28" i="18"/>
  <c r="M7" i="19"/>
  <c r="J8" i="20"/>
  <c r="J18" i="20"/>
  <c r="F22" i="3"/>
  <c r="G22" i="3" s="1"/>
  <c r="F34" i="3"/>
  <c r="G34" i="3" s="1"/>
  <c r="G4" i="8"/>
  <c r="M10" i="8"/>
  <c r="M7" i="12"/>
  <c r="L4" i="13"/>
  <c r="M13" i="15"/>
  <c r="M20" i="15"/>
  <c r="M24" i="15"/>
  <c r="M9" i="16"/>
  <c r="M17" i="16"/>
  <c r="M24" i="20"/>
  <c r="F32" i="3"/>
  <c r="G32" i="3" s="1"/>
  <c r="M8" i="7"/>
  <c r="M12" i="7"/>
  <c r="M18" i="7"/>
  <c r="M8" i="8"/>
  <c r="M27" i="8"/>
  <c r="M21" i="12"/>
  <c r="K4" i="14"/>
  <c r="J15" i="14"/>
  <c r="J19" i="14"/>
  <c r="M8" i="18"/>
  <c r="J12" i="20"/>
  <c r="J22" i="20"/>
  <c r="J25" i="20"/>
  <c r="M16" i="7"/>
  <c r="M19" i="7"/>
  <c r="M23" i="7"/>
  <c r="M6" i="8"/>
  <c r="M9" i="8"/>
  <c r="M12" i="11"/>
  <c r="M26" i="11"/>
  <c r="M23" i="12"/>
  <c r="M5" i="13"/>
  <c r="J16" i="14"/>
  <c r="J20" i="14"/>
  <c r="J24" i="14"/>
  <c r="M18" i="17"/>
  <c r="G4" i="20"/>
  <c r="F14" i="3"/>
  <c r="G14" i="3" s="1"/>
  <c r="M22" i="7"/>
  <c r="F36" i="3"/>
  <c r="G36" i="3" s="1"/>
  <c r="G4" i="12"/>
  <c r="M10" i="15"/>
  <c r="M14" i="15"/>
  <c r="M21" i="15"/>
  <c r="M6" i="18"/>
  <c r="M18" i="18"/>
  <c r="M26" i="18"/>
  <c r="F7" i="3"/>
  <c r="G7" i="3" s="1"/>
  <c r="F54" i="3"/>
  <c r="G54" i="3" s="1"/>
  <c r="L4" i="8"/>
  <c r="L2" i="8" s="1"/>
  <c r="D31" i="1" s="1"/>
  <c r="M20" i="8"/>
  <c r="M6" i="11"/>
  <c r="M19" i="12"/>
  <c r="M7" i="13"/>
  <c r="M14" i="13"/>
  <c r="M24" i="13"/>
  <c r="K4" i="15"/>
  <c r="M18" i="15"/>
  <c r="M22" i="15"/>
  <c r="M8" i="17"/>
  <c r="M7" i="18"/>
  <c r="M9" i="20"/>
  <c r="P33" i="21"/>
  <c r="M14" i="8"/>
  <c r="M22" i="8"/>
  <c r="K4" i="11"/>
  <c r="M19" i="11"/>
  <c r="M23" i="11"/>
  <c r="M9" i="12"/>
  <c r="M12" i="12"/>
  <c r="M15" i="12"/>
  <c r="M6" i="13"/>
  <c r="G4" i="15"/>
  <c r="L4" i="16"/>
  <c r="L2" i="16" s="1"/>
  <c r="M19" i="16"/>
  <c r="M23" i="16"/>
  <c r="M14" i="17"/>
  <c r="M22" i="18"/>
  <c r="M11" i="20"/>
  <c r="F9" i="3"/>
  <c r="G9" i="3" s="1"/>
  <c r="F44" i="3"/>
  <c r="G44" i="3" s="1"/>
  <c r="F52" i="3"/>
  <c r="G52" i="3" s="1"/>
  <c r="F56" i="3"/>
  <c r="G56" i="3" s="1"/>
  <c r="F60" i="3"/>
  <c r="G60" i="3" s="1"/>
  <c r="F17" i="3"/>
  <c r="G17" i="3" s="1"/>
  <c r="F35" i="3"/>
  <c r="E60" i="6"/>
  <c r="M20" i="7"/>
  <c r="M7" i="8"/>
  <c r="M13" i="8"/>
  <c r="M18" i="8"/>
  <c r="M21" i="8"/>
  <c r="D35" i="9"/>
  <c r="L35" i="9"/>
  <c r="T35" i="9"/>
  <c r="AB35" i="9"/>
  <c r="AJ35" i="9"/>
  <c r="AR35" i="9"/>
  <c r="X35" i="9"/>
  <c r="AN35" i="9"/>
  <c r="M10" i="11"/>
  <c r="M18" i="11"/>
  <c r="M22" i="11"/>
  <c r="M16" i="12"/>
  <c r="E4" i="13"/>
  <c r="G4" i="13"/>
  <c r="M11" i="13"/>
  <c r="M15" i="13"/>
  <c r="M21" i="13"/>
  <c r="M25" i="13"/>
  <c r="M7" i="14"/>
  <c r="M18" i="14"/>
  <c r="M26" i="15"/>
  <c r="M7" i="16"/>
  <c r="M21" i="16"/>
  <c r="M12" i="17"/>
  <c r="M16" i="17"/>
  <c r="M9" i="18"/>
  <c r="M14" i="18"/>
  <c r="M20" i="18"/>
  <c r="M24" i="18"/>
  <c r="M7" i="20"/>
  <c r="D91" i="1"/>
  <c r="D19" i="1"/>
  <c r="D127" i="1"/>
  <c r="D55" i="1"/>
  <c r="D67" i="1"/>
  <c r="F53" i="3"/>
  <c r="G53" i="3" s="1"/>
  <c r="J60" i="6"/>
  <c r="M11" i="7"/>
  <c r="I16" i="7"/>
  <c r="J18" i="7"/>
  <c r="J20" i="7"/>
  <c r="M21" i="7"/>
  <c r="I8" i="8"/>
  <c r="J10" i="8"/>
  <c r="M11" i="8"/>
  <c r="J15" i="8"/>
  <c r="J17" i="8"/>
  <c r="J19" i="8"/>
  <c r="J21" i="8"/>
  <c r="J23" i="8"/>
  <c r="J25" i="8"/>
  <c r="I28" i="8"/>
  <c r="G4" i="11"/>
  <c r="M9" i="11"/>
  <c r="J11" i="11"/>
  <c r="M13" i="12"/>
  <c r="M12" i="15"/>
  <c r="G4" i="16"/>
  <c r="M13" i="16"/>
  <c r="J7" i="17"/>
  <c r="E4" i="17"/>
  <c r="M22" i="17"/>
  <c r="G4" i="18"/>
  <c r="L4" i="20"/>
  <c r="F5" i="3"/>
  <c r="G5" i="3" s="1"/>
  <c r="D98" i="1"/>
  <c r="D134" i="1"/>
  <c r="A2" i="6"/>
  <c r="J16" i="7"/>
  <c r="J8" i="8"/>
  <c r="J28" i="8"/>
  <c r="M7" i="11"/>
  <c r="J9" i="11"/>
  <c r="J12" i="11"/>
  <c r="M13" i="11"/>
  <c r="C4" i="12"/>
  <c r="L4" i="12"/>
  <c r="L2" i="12" s="1"/>
  <c r="J10" i="12"/>
  <c r="M11" i="12"/>
  <c r="J19" i="12"/>
  <c r="M13" i="13"/>
  <c r="M23" i="13"/>
  <c r="C4" i="17"/>
  <c r="F31" i="3"/>
  <c r="G31" i="3" s="1"/>
  <c r="D74" i="1"/>
  <c r="E4" i="7"/>
  <c r="M7" i="7"/>
  <c r="J8" i="7"/>
  <c r="M10" i="7"/>
  <c r="J12" i="7"/>
  <c r="M17" i="7"/>
  <c r="J19" i="7"/>
  <c r="J21" i="7"/>
  <c r="J11" i="8"/>
  <c r="J14" i="8"/>
  <c r="M15" i="8"/>
  <c r="J16" i="8"/>
  <c r="J18" i="8"/>
  <c r="M19" i="8"/>
  <c r="J20" i="8"/>
  <c r="J22" i="8"/>
  <c r="M23" i="8"/>
  <c r="J24" i="8"/>
  <c r="M25" i="8"/>
  <c r="J7" i="11"/>
  <c r="M17" i="11"/>
  <c r="J19" i="11"/>
  <c r="J26" i="11"/>
  <c r="E4" i="12"/>
  <c r="M5" i="12"/>
  <c r="M8" i="12"/>
  <c r="M17" i="12"/>
  <c r="J6" i="15"/>
  <c r="E4" i="15"/>
  <c r="J20" i="20"/>
  <c r="J20" i="11"/>
  <c r="M21" i="11"/>
  <c r="J8" i="12"/>
  <c r="J11" i="12"/>
  <c r="J13" i="12"/>
  <c r="J15" i="12"/>
  <c r="J17" i="12"/>
  <c r="M20" i="12"/>
  <c r="J22" i="12"/>
  <c r="J10" i="13"/>
  <c r="J13" i="13"/>
  <c r="J18" i="13"/>
  <c r="I21" i="13"/>
  <c r="J23" i="13"/>
  <c r="J5" i="14"/>
  <c r="M6" i="14"/>
  <c r="J9" i="14"/>
  <c r="M10" i="14"/>
  <c r="J13" i="14"/>
  <c r="J14" i="14"/>
  <c r="M17" i="14"/>
  <c r="M21" i="14"/>
  <c r="M24" i="14"/>
  <c r="C4" i="15"/>
  <c r="J9" i="15"/>
  <c r="J12" i="15"/>
  <c r="J17" i="15"/>
  <c r="J20" i="15"/>
  <c r="J25" i="15"/>
  <c r="E4" i="16"/>
  <c r="M5" i="16"/>
  <c r="J10" i="16"/>
  <c r="J13" i="16"/>
  <c r="J18" i="16"/>
  <c r="J21" i="16"/>
  <c r="J26" i="16"/>
  <c r="G4" i="17"/>
  <c r="J6" i="17"/>
  <c r="J11" i="17"/>
  <c r="J14" i="17"/>
  <c r="J19" i="17"/>
  <c r="J22" i="17"/>
  <c r="I11" i="18"/>
  <c r="M11" i="18"/>
  <c r="J13" i="18"/>
  <c r="J20" i="18"/>
  <c r="M23" i="18"/>
  <c r="J6" i="19"/>
  <c r="J14" i="19"/>
  <c r="J18" i="19"/>
  <c r="J22" i="19"/>
  <c r="J26" i="19"/>
  <c r="M15" i="20"/>
  <c r="I17" i="20"/>
  <c r="M23" i="20"/>
  <c r="I25" i="20"/>
  <c r="L33" i="21"/>
  <c r="D33" i="21"/>
  <c r="J9" i="12"/>
  <c r="J11" i="13"/>
  <c r="J16" i="13"/>
  <c r="J21" i="13"/>
  <c r="J24" i="13"/>
  <c r="M11" i="14"/>
  <c r="M14" i="14"/>
  <c r="J18" i="14"/>
  <c r="J22" i="14"/>
  <c r="M22" i="14"/>
  <c r="J15" i="15"/>
  <c r="J8" i="16"/>
  <c r="J11" i="16"/>
  <c r="J16" i="16"/>
  <c r="J19" i="16"/>
  <c r="J24" i="16"/>
  <c r="K4" i="17"/>
  <c r="K4" i="18"/>
  <c r="M10" i="18"/>
  <c r="J11" i="18"/>
  <c r="J14" i="18"/>
  <c r="M21" i="18"/>
  <c r="J23" i="18"/>
  <c r="J11" i="19"/>
  <c r="M12" i="19"/>
  <c r="J15" i="19"/>
  <c r="M16" i="19"/>
  <c r="J19" i="19"/>
  <c r="M20" i="19"/>
  <c r="J23" i="19"/>
  <c r="M24" i="19"/>
  <c r="J27" i="19"/>
  <c r="M28" i="19"/>
  <c r="E4" i="20"/>
  <c r="M13" i="20"/>
  <c r="M17" i="20"/>
  <c r="M19" i="20"/>
  <c r="M21" i="20"/>
  <c r="M25" i="20"/>
  <c r="M10" i="13"/>
  <c r="J12" i="13"/>
  <c r="J15" i="13"/>
  <c r="M18" i="13"/>
  <c r="J20" i="13"/>
  <c r="J22" i="13"/>
  <c r="J8" i="14"/>
  <c r="M9" i="14"/>
  <c r="J12" i="14"/>
  <c r="M13" i="14"/>
  <c r="M16" i="14"/>
  <c r="M20" i="14"/>
  <c r="M9" i="15"/>
  <c r="J11" i="15"/>
  <c r="J14" i="15"/>
  <c r="M17" i="15"/>
  <c r="J19" i="15"/>
  <c r="J22" i="15"/>
  <c r="M25" i="15"/>
  <c r="J7" i="16"/>
  <c r="J12" i="16"/>
  <c r="J15" i="16"/>
  <c r="J20" i="16"/>
  <c r="J23" i="16"/>
  <c r="J5" i="17"/>
  <c r="J8" i="17"/>
  <c r="J13" i="17"/>
  <c r="J16" i="17"/>
  <c r="J21" i="17"/>
  <c r="J5" i="18"/>
  <c r="J10" i="18"/>
  <c r="M13" i="18"/>
  <c r="J15" i="18"/>
  <c r="J22" i="18"/>
  <c r="M6" i="19"/>
  <c r="C4" i="19"/>
  <c r="J13" i="19"/>
  <c r="M14" i="19"/>
  <c r="J17" i="19"/>
  <c r="M18" i="19"/>
  <c r="J21" i="19"/>
  <c r="M22" i="19"/>
  <c r="J25" i="19"/>
  <c r="M26" i="19"/>
  <c r="M5" i="20"/>
  <c r="K4" i="20"/>
  <c r="M26" i="20"/>
  <c r="J2" i="1"/>
  <c r="K3" i="1" s="1"/>
  <c r="F6" i="1"/>
  <c r="C7" i="1" s="1"/>
  <c r="E7" i="1" s="1"/>
  <c r="F7" i="1" s="1"/>
  <c r="C8" i="1" s="1"/>
  <c r="E8" i="1" s="1"/>
  <c r="F8" i="1" s="1"/>
  <c r="C9" i="1" s="1"/>
  <c r="E9" i="1" s="1"/>
  <c r="F9" i="1" s="1"/>
  <c r="C10" i="1" s="1"/>
  <c r="F50" i="3"/>
  <c r="G50" i="3" s="1"/>
  <c r="F38" i="3"/>
  <c r="G38" i="3" s="1"/>
  <c r="F41" i="3"/>
  <c r="G41" i="3" s="1"/>
  <c r="F43" i="3"/>
  <c r="G43" i="3" s="1"/>
  <c r="F3" i="3"/>
  <c r="G3" i="3" s="1"/>
  <c r="F3" i="5"/>
  <c r="F11" i="3"/>
  <c r="F18" i="3"/>
  <c r="G18" i="3" s="1"/>
  <c r="F20" i="3"/>
  <c r="G20" i="3" s="1"/>
  <c r="F29" i="3"/>
  <c r="G29" i="3" s="1"/>
  <c r="F37" i="3"/>
  <c r="G37" i="3" s="1"/>
  <c r="F45" i="3"/>
  <c r="G45" i="3" s="1"/>
  <c r="F47" i="3"/>
  <c r="F10" i="3"/>
  <c r="G10" i="3" s="1"/>
  <c r="F24" i="3"/>
  <c r="G24" i="3" s="1"/>
  <c r="F26" i="3"/>
  <c r="G26" i="3" s="1"/>
  <c r="F4" i="3"/>
  <c r="G4" i="3" s="1"/>
  <c r="F16" i="3"/>
  <c r="G16" i="3" s="1"/>
  <c r="F19" i="3"/>
  <c r="G19" i="3" s="1"/>
  <c r="F28" i="3"/>
  <c r="G28" i="3" s="1"/>
  <c r="F15" i="3"/>
  <c r="G15" i="3" s="1"/>
  <c r="F23" i="3"/>
  <c r="G23" i="3" s="1"/>
  <c r="F25" i="3"/>
  <c r="F46" i="3"/>
  <c r="G46" i="3" s="1"/>
  <c r="F48" i="3"/>
  <c r="G48" i="3" s="1"/>
  <c r="F58" i="3"/>
  <c r="G58" i="3" s="1"/>
  <c r="F61" i="3"/>
  <c r="G61" i="3" s="1"/>
  <c r="F63" i="3"/>
  <c r="G63" i="3" s="1"/>
  <c r="I53" i="6"/>
  <c r="J53" i="6" s="1"/>
  <c r="I25" i="6"/>
  <c r="J25" i="6" s="1"/>
  <c r="F21" i="3"/>
  <c r="G21" i="3" s="1"/>
  <c r="F40" i="3"/>
  <c r="G40" i="3" s="1"/>
  <c r="F42" i="3"/>
  <c r="G42" i="3" s="1"/>
  <c r="F51" i="3"/>
  <c r="G51" i="3" s="1"/>
  <c r="F59" i="3"/>
  <c r="G59" i="3" s="1"/>
  <c r="F62" i="3"/>
  <c r="G62" i="3" s="1"/>
  <c r="F64" i="3"/>
  <c r="G64" i="3" s="1"/>
  <c r="I34" i="6"/>
  <c r="J34" i="6" s="1"/>
  <c r="F8" i="19"/>
  <c r="F7" i="16"/>
  <c r="F7" i="13"/>
  <c r="G7" i="6"/>
  <c r="F7" i="6" s="1"/>
  <c r="F12" i="19"/>
  <c r="F11" i="16"/>
  <c r="F12" i="7"/>
  <c r="F10" i="14"/>
  <c r="G12" i="6"/>
  <c r="F17" i="20"/>
  <c r="F19" i="18"/>
  <c r="F18" i="15"/>
  <c r="F15" i="11"/>
  <c r="G18" i="6"/>
  <c r="D8" i="16"/>
  <c r="I8" i="16" s="1"/>
  <c r="D9" i="19"/>
  <c r="I9" i="19" s="1"/>
  <c r="D22" i="13"/>
  <c r="I22" i="13" s="1"/>
  <c r="D9" i="7"/>
  <c r="I9" i="7" s="1"/>
  <c r="F8" i="20"/>
  <c r="F8" i="15"/>
  <c r="F8" i="18"/>
  <c r="F8" i="12"/>
  <c r="D18" i="20"/>
  <c r="I18" i="20" s="1"/>
  <c r="D15" i="17"/>
  <c r="I15" i="17" s="1"/>
  <c r="D16" i="14"/>
  <c r="I16" i="14" s="1"/>
  <c r="D17" i="11"/>
  <c r="I17" i="11" s="1"/>
  <c r="F7" i="15"/>
  <c r="F7" i="18"/>
  <c r="F7" i="8"/>
  <c r="G29" i="6"/>
  <c r="F27" i="19"/>
  <c r="F25" i="16"/>
  <c r="F24" i="13"/>
  <c r="G33" i="6"/>
  <c r="D23" i="20"/>
  <c r="I23" i="20" s="1"/>
  <c r="D20" i="17"/>
  <c r="I20" i="17" s="1"/>
  <c r="D21" i="14"/>
  <c r="I21" i="14" s="1"/>
  <c r="D23" i="11"/>
  <c r="I23" i="11" s="1"/>
  <c r="D13" i="19"/>
  <c r="I13" i="19" s="1"/>
  <c r="D25" i="18"/>
  <c r="I25" i="18" s="1"/>
  <c r="D12" i="16"/>
  <c r="I12" i="16" s="1"/>
  <c r="D23" i="15"/>
  <c r="I23" i="15" s="1"/>
  <c r="D11" i="20"/>
  <c r="I11" i="20" s="1"/>
  <c r="D12" i="14"/>
  <c r="I12" i="14" s="1"/>
  <c r="D12" i="17"/>
  <c r="I12" i="17" s="1"/>
  <c r="D13" i="8"/>
  <c r="I13" i="8" s="1"/>
  <c r="D13" i="7"/>
  <c r="I13" i="7" s="1"/>
  <c r="D11" i="11"/>
  <c r="I11" i="11" s="1"/>
  <c r="D23" i="13"/>
  <c r="I23" i="13" s="1"/>
  <c r="D10" i="19"/>
  <c r="I10" i="19" s="1"/>
  <c r="D9" i="16"/>
  <c r="I9" i="16" s="1"/>
  <c r="D8" i="13"/>
  <c r="I8" i="13" s="1"/>
  <c r="D27" i="18"/>
  <c r="I27" i="18" s="1"/>
  <c r="D25" i="15"/>
  <c r="I25" i="15" s="1"/>
  <c r="D22" i="12"/>
  <c r="I22" i="12" s="1"/>
  <c r="D26" i="8"/>
  <c r="I26" i="8" s="1"/>
  <c r="F20" i="19"/>
  <c r="F21" i="18"/>
  <c r="F18" i="16"/>
  <c r="F17" i="12"/>
  <c r="F20" i="8"/>
  <c r="G54" i="6"/>
  <c r="D10" i="7"/>
  <c r="I10" i="7" s="1"/>
  <c r="I5" i="13"/>
  <c r="D8" i="19"/>
  <c r="I8" i="19" s="1"/>
  <c r="D7" i="16"/>
  <c r="I7" i="16" s="1"/>
  <c r="D9" i="8"/>
  <c r="I9" i="8" s="1"/>
  <c r="D7" i="13"/>
  <c r="I7" i="13" s="1"/>
  <c r="F25" i="13"/>
  <c r="F27" i="8"/>
  <c r="G8" i="6"/>
  <c r="D19" i="18"/>
  <c r="I19" i="18" s="1"/>
  <c r="D18" i="15"/>
  <c r="I18" i="15" s="1"/>
  <c r="D15" i="11"/>
  <c r="I15" i="11" s="1"/>
  <c r="F19" i="20"/>
  <c r="F16" i="17"/>
  <c r="F17" i="14"/>
  <c r="F20" i="11"/>
  <c r="G19" i="6"/>
  <c r="F18" i="18"/>
  <c r="F17" i="15"/>
  <c r="F19" i="8"/>
  <c r="G23" i="6"/>
  <c r="D7" i="18"/>
  <c r="I7" i="18" s="1"/>
  <c r="D7" i="15"/>
  <c r="I7" i="15" s="1"/>
  <c r="D7" i="8"/>
  <c r="I7" i="8" s="1"/>
  <c r="D27" i="19"/>
  <c r="I27" i="19" s="1"/>
  <c r="D25" i="16"/>
  <c r="I25" i="16" s="1"/>
  <c r="D24" i="13"/>
  <c r="I24" i="13" s="1"/>
  <c r="D25" i="8"/>
  <c r="I25" i="8" s="1"/>
  <c r="D6" i="20"/>
  <c r="I6" i="20" s="1"/>
  <c r="D18" i="19"/>
  <c r="I18" i="19" s="1"/>
  <c r="D20" i="18"/>
  <c r="I20" i="18" s="1"/>
  <c r="D7" i="17"/>
  <c r="I7" i="17" s="1"/>
  <c r="D16" i="16"/>
  <c r="I16" i="16" s="1"/>
  <c r="D19" i="15"/>
  <c r="I19" i="15" s="1"/>
  <c r="D6" i="14"/>
  <c r="I6" i="14" s="1"/>
  <c r="D6" i="11"/>
  <c r="I6" i="11" s="1"/>
  <c r="D14" i="13"/>
  <c r="I14" i="13" s="1"/>
  <c r="D6" i="8"/>
  <c r="I6" i="8" s="1"/>
  <c r="F10" i="16"/>
  <c r="F9" i="13"/>
  <c r="F11" i="19"/>
  <c r="G42" i="6"/>
  <c r="D5" i="18"/>
  <c r="D5" i="15"/>
  <c r="D5" i="12"/>
  <c r="D7" i="20"/>
  <c r="I7" i="20" s="1"/>
  <c r="D9" i="17"/>
  <c r="I9" i="17" s="1"/>
  <c r="D8" i="14"/>
  <c r="I8" i="14" s="1"/>
  <c r="D7" i="11"/>
  <c r="I7" i="11" s="1"/>
  <c r="F17" i="18"/>
  <c r="F16" i="15"/>
  <c r="F15" i="12"/>
  <c r="F15" i="8"/>
  <c r="G59" i="6"/>
  <c r="F59" i="6" s="1"/>
  <c r="D13" i="20"/>
  <c r="I13" i="20" s="1"/>
  <c r="D13" i="17"/>
  <c r="I13" i="17" s="1"/>
  <c r="D12" i="11"/>
  <c r="I12" i="11" s="1"/>
  <c r="D13" i="14"/>
  <c r="I13" i="14" s="1"/>
  <c r="E25" i="6"/>
  <c r="F25" i="6"/>
  <c r="F33" i="6"/>
  <c r="E53" i="6"/>
  <c r="F53" i="6"/>
  <c r="D5" i="7"/>
  <c r="F9" i="8"/>
  <c r="F25" i="8"/>
  <c r="J6" i="11"/>
  <c r="E4" i="11"/>
  <c r="F5" i="19"/>
  <c r="F5" i="16"/>
  <c r="F5" i="13"/>
  <c r="G3" i="6"/>
  <c r="F6" i="7"/>
  <c r="I2" i="5"/>
  <c r="D9" i="20"/>
  <c r="I9" i="20" s="1"/>
  <c r="D8" i="11"/>
  <c r="I8" i="11" s="1"/>
  <c r="D22" i="20"/>
  <c r="I22" i="20" s="1"/>
  <c r="D19" i="17"/>
  <c r="I19" i="17" s="1"/>
  <c r="D20" i="14"/>
  <c r="I20" i="14" s="1"/>
  <c r="D21" i="11"/>
  <c r="I21" i="11" s="1"/>
  <c r="D9" i="18"/>
  <c r="I9" i="18" s="1"/>
  <c r="D10" i="15"/>
  <c r="I10" i="15" s="1"/>
  <c r="D9" i="12"/>
  <c r="I9" i="12" s="1"/>
  <c r="D10" i="8"/>
  <c r="I10" i="8" s="1"/>
  <c r="F26" i="20"/>
  <c r="F24" i="14"/>
  <c r="F26" i="11"/>
  <c r="F18" i="19"/>
  <c r="F6" i="20"/>
  <c r="F20" i="18"/>
  <c r="F19" i="15"/>
  <c r="F16" i="16"/>
  <c r="F6" i="8"/>
  <c r="F7" i="17"/>
  <c r="F6" i="11"/>
  <c r="G40" i="6"/>
  <c r="F6" i="14"/>
  <c r="F14" i="13"/>
  <c r="F24" i="19"/>
  <c r="F22" i="16"/>
  <c r="F19" i="13"/>
  <c r="D16" i="20"/>
  <c r="I16" i="20" s="1"/>
  <c r="D14" i="17"/>
  <c r="I14" i="17" s="1"/>
  <c r="D14" i="11"/>
  <c r="I14" i="11" s="1"/>
  <c r="D15" i="14"/>
  <c r="I15" i="14" s="1"/>
  <c r="D14" i="20"/>
  <c r="I14" i="20" s="1"/>
  <c r="D15" i="18"/>
  <c r="I15" i="18" s="1"/>
  <c r="D14" i="14"/>
  <c r="I14" i="14" s="1"/>
  <c r="D17" i="8"/>
  <c r="I17" i="8" s="1"/>
  <c r="D13" i="11"/>
  <c r="I13" i="11" s="1"/>
  <c r="F20" i="20"/>
  <c r="F17" i="17"/>
  <c r="F22" i="11"/>
  <c r="G64" i="6"/>
  <c r="F18" i="14"/>
  <c r="E34" i="6"/>
  <c r="F34" i="6"/>
  <c r="G38" i="6"/>
  <c r="G4" i="7"/>
  <c r="D5" i="19"/>
  <c r="D5" i="16"/>
  <c r="D6" i="7"/>
  <c r="I6" i="7" s="1"/>
  <c r="H3" i="5"/>
  <c r="K3" i="5"/>
  <c r="F23" i="19"/>
  <c r="F21" i="16"/>
  <c r="F22" i="7"/>
  <c r="G5" i="6"/>
  <c r="F18" i="13"/>
  <c r="D12" i="19"/>
  <c r="I12" i="19" s="1"/>
  <c r="D10" i="14"/>
  <c r="I10" i="14" s="1"/>
  <c r="D11" i="16"/>
  <c r="I11" i="16" s="1"/>
  <c r="F22" i="19"/>
  <c r="F20" i="16"/>
  <c r="F17" i="13"/>
  <c r="F18" i="7"/>
  <c r="G14" i="6"/>
  <c r="D8" i="20"/>
  <c r="I8" i="20" s="1"/>
  <c r="D8" i="18"/>
  <c r="I8" i="18" s="1"/>
  <c r="D8" i="12"/>
  <c r="I8" i="12" s="1"/>
  <c r="D8" i="15"/>
  <c r="I8" i="15" s="1"/>
  <c r="F21" i="19"/>
  <c r="F19" i="16"/>
  <c r="F16" i="13"/>
  <c r="G30" i="6"/>
  <c r="F26" i="18"/>
  <c r="F24" i="15"/>
  <c r="F21" i="12"/>
  <c r="F23" i="8"/>
  <c r="D26" i="20"/>
  <c r="I26" i="20" s="1"/>
  <c r="D24" i="14"/>
  <c r="I24" i="14" s="1"/>
  <c r="D26" i="11"/>
  <c r="I26" i="11" s="1"/>
  <c r="F24" i="20"/>
  <c r="F21" i="17"/>
  <c r="F24" i="11"/>
  <c r="G39" i="6"/>
  <c r="F22" i="14"/>
  <c r="D10" i="18"/>
  <c r="I10" i="18" s="1"/>
  <c r="D11" i="15"/>
  <c r="I11" i="15" s="1"/>
  <c r="D10" i="12"/>
  <c r="I10" i="12" s="1"/>
  <c r="F27" i="3"/>
  <c r="G27" i="3" s="1"/>
  <c r="F30" i="3"/>
  <c r="G30" i="3" s="1"/>
  <c r="F49" i="3"/>
  <c r="G49" i="3" s="1"/>
  <c r="L3" i="5"/>
  <c r="D23" i="19"/>
  <c r="I23" i="19" s="1"/>
  <c r="D21" i="16"/>
  <c r="I21" i="16" s="1"/>
  <c r="D18" i="13"/>
  <c r="I18" i="13" s="1"/>
  <c r="D22" i="7"/>
  <c r="I22" i="7" s="1"/>
  <c r="F16" i="19"/>
  <c r="F16" i="11"/>
  <c r="D28" i="19"/>
  <c r="I28" i="19" s="1"/>
  <c r="D26" i="16"/>
  <c r="I26" i="16" s="1"/>
  <c r="D27" i="8"/>
  <c r="I27" i="8" s="1"/>
  <c r="D25" i="13"/>
  <c r="I25" i="13" s="1"/>
  <c r="F6" i="19"/>
  <c r="F6" i="16"/>
  <c r="G10" i="6"/>
  <c r="F7" i="7"/>
  <c r="D22" i="19"/>
  <c r="I22" i="19" s="1"/>
  <c r="D20" i="16"/>
  <c r="I20" i="16" s="1"/>
  <c r="D18" i="7"/>
  <c r="I18" i="7" s="1"/>
  <c r="D17" i="13"/>
  <c r="I17" i="13" s="1"/>
  <c r="F21" i="20"/>
  <c r="F18" i="17"/>
  <c r="F19" i="14"/>
  <c r="F19" i="11"/>
  <c r="G15" i="6"/>
  <c r="D19" i="20"/>
  <c r="I19" i="20" s="1"/>
  <c r="D16" i="17"/>
  <c r="I16" i="17" s="1"/>
  <c r="D20" i="11"/>
  <c r="I20" i="11" s="1"/>
  <c r="D17" i="14"/>
  <c r="I17" i="14" s="1"/>
  <c r="D17" i="15"/>
  <c r="I17" i="15" s="1"/>
  <c r="D18" i="18"/>
  <c r="I18" i="18" s="1"/>
  <c r="D16" i="12"/>
  <c r="I16" i="12" s="1"/>
  <c r="D19" i="8"/>
  <c r="I19" i="8" s="1"/>
  <c r="F13" i="18"/>
  <c r="F13" i="15"/>
  <c r="F14" i="8"/>
  <c r="F14" i="12"/>
  <c r="G24" i="6"/>
  <c r="F14" i="19"/>
  <c r="F14" i="16"/>
  <c r="F11" i="13"/>
  <c r="F14" i="7"/>
  <c r="G26" i="6"/>
  <c r="D21" i="19"/>
  <c r="I21" i="19" s="1"/>
  <c r="D19" i="16"/>
  <c r="I19" i="16" s="1"/>
  <c r="D16" i="13"/>
  <c r="I16" i="13" s="1"/>
  <c r="D19" i="7"/>
  <c r="I19" i="7" s="1"/>
  <c r="F12" i="18"/>
  <c r="F12" i="15"/>
  <c r="F11" i="12"/>
  <c r="F18" i="8"/>
  <c r="G32" i="6"/>
  <c r="F32" i="6" s="1"/>
  <c r="D26" i="18"/>
  <c r="I26" i="18" s="1"/>
  <c r="D23" i="8"/>
  <c r="I23" i="8" s="1"/>
  <c r="D21" i="12"/>
  <c r="I21" i="12" s="1"/>
  <c r="D24" i="15"/>
  <c r="I24" i="15" s="1"/>
  <c r="F23" i="18"/>
  <c r="F21" i="15"/>
  <c r="F19" i="12"/>
  <c r="F22" i="8"/>
  <c r="G35" i="6"/>
  <c r="F35" i="6" s="1"/>
  <c r="D24" i="20"/>
  <c r="I24" i="20" s="1"/>
  <c r="D21" i="17"/>
  <c r="I21" i="17" s="1"/>
  <c r="D22" i="14"/>
  <c r="I22" i="14" s="1"/>
  <c r="D24" i="11"/>
  <c r="I24" i="11" s="1"/>
  <c r="D11" i="19"/>
  <c r="I11" i="19" s="1"/>
  <c r="D10" i="16"/>
  <c r="I10" i="16" s="1"/>
  <c r="D11" i="7"/>
  <c r="I11" i="7" s="1"/>
  <c r="D9" i="13"/>
  <c r="I9" i="13" s="1"/>
  <c r="F12" i="20"/>
  <c r="F13" i="16"/>
  <c r="F15" i="7"/>
  <c r="F10" i="13"/>
  <c r="G43" i="6"/>
  <c r="F10" i="19"/>
  <c r="F9" i="16"/>
  <c r="F10" i="7"/>
  <c r="F8" i="13"/>
  <c r="G46" i="6"/>
  <c r="D24" i="19"/>
  <c r="I24" i="19" s="1"/>
  <c r="D22" i="16"/>
  <c r="I22" i="16" s="1"/>
  <c r="D21" i="7"/>
  <c r="I21" i="7" s="1"/>
  <c r="D19" i="13"/>
  <c r="I19" i="13" s="1"/>
  <c r="F27" i="18"/>
  <c r="F25" i="15"/>
  <c r="F26" i="8"/>
  <c r="F22" i="12"/>
  <c r="G51" i="6"/>
  <c r="D20" i="19"/>
  <c r="I20" i="19" s="1"/>
  <c r="D21" i="18"/>
  <c r="I21" i="18" s="1"/>
  <c r="D18" i="16"/>
  <c r="I18" i="16" s="1"/>
  <c r="D17" i="12"/>
  <c r="I17" i="12" s="1"/>
  <c r="F16" i="20"/>
  <c r="F14" i="17"/>
  <c r="F15" i="14"/>
  <c r="F14" i="11"/>
  <c r="G56" i="6"/>
  <c r="F3" i="6"/>
  <c r="E6" i="6"/>
  <c r="E21" i="6"/>
  <c r="F39" i="6"/>
  <c r="E49" i="6"/>
  <c r="E58" i="6"/>
  <c r="F58" i="6"/>
  <c r="K4" i="7"/>
  <c r="D12" i="8"/>
  <c r="I12" i="8" s="1"/>
  <c r="B46" i="10"/>
  <c r="B45" i="4"/>
  <c r="B64" i="4" s="1"/>
  <c r="F33" i="3"/>
  <c r="G33" i="3" s="1"/>
  <c r="E2" i="5"/>
  <c r="G3" i="5"/>
  <c r="D16" i="19"/>
  <c r="I16" i="19" s="1"/>
  <c r="D16" i="11"/>
  <c r="I16" i="11" s="1"/>
  <c r="D6" i="19"/>
  <c r="I6" i="19" s="1"/>
  <c r="D6" i="16"/>
  <c r="I6" i="16" s="1"/>
  <c r="D6" i="13"/>
  <c r="I6" i="13" s="1"/>
  <c r="D7" i="7"/>
  <c r="I7" i="7" s="1"/>
  <c r="F9" i="20"/>
  <c r="F8" i="11"/>
  <c r="G11" i="6"/>
  <c r="F11" i="6" s="1"/>
  <c r="D21" i="20"/>
  <c r="I21" i="20" s="1"/>
  <c r="D18" i="17"/>
  <c r="I18" i="17" s="1"/>
  <c r="D19" i="14"/>
  <c r="I19" i="14" s="1"/>
  <c r="D19" i="11"/>
  <c r="I19" i="11" s="1"/>
  <c r="F22" i="20"/>
  <c r="F21" i="11"/>
  <c r="F19" i="17"/>
  <c r="F20" i="14"/>
  <c r="G16" i="6"/>
  <c r="F9" i="19"/>
  <c r="F8" i="16"/>
  <c r="F9" i="7"/>
  <c r="G20" i="6"/>
  <c r="F20" i="6" s="1"/>
  <c r="D13" i="18"/>
  <c r="I13" i="18" s="1"/>
  <c r="D13" i="15"/>
  <c r="I13" i="15" s="1"/>
  <c r="D14" i="12"/>
  <c r="I14" i="12" s="1"/>
  <c r="D14" i="8"/>
  <c r="I14" i="8" s="1"/>
  <c r="F9" i="18"/>
  <c r="F10" i="15"/>
  <c r="F9" i="12"/>
  <c r="F10" i="8"/>
  <c r="D14" i="19"/>
  <c r="I14" i="19" s="1"/>
  <c r="D14" i="16"/>
  <c r="I14" i="16" s="1"/>
  <c r="D14" i="7"/>
  <c r="I14" i="7" s="1"/>
  <c r="D11" i="13"/>
  <c r="I11" i="13" s="1"/>
  <c r="F18" i="20"/>
  <c r="F17" i="11"/>
  <c r="F15" i="17"/>
  <c r="F16" i="14"/>
  <c r="G28" i="6"/>
  <c r="D12" i="18"/>
  <c r="I12" i="18" s="1"/>
  <c r="D12" i="15"/>
  <c r="I12" i="15" s="1"/>
  <c r="D11" i="12"/>
  <c r="I11" i="12" s="1"/>
  <c r="D18" i="8"/>
  <c r="I18" i="8" s="1"/>
  <c r="D23" i="18"/>
  <c r="I23" i="18" s="1"/>
  <c r="D21" i="15"/>
  <c r="I21" i="15" s="1"/>
  <c r="D22" i="8"/>
  <c r="I22" i="8" s="1"/>
  <c r="D19" i="12"/>
  <c r="I19" i="12" s="1"/>
  <c r="F23" i="20"/>
  <c r="F20" i="17"/>
  <c r="F21" i="14"/>
  <c r="F23" i="11"/>
  <c r="G37" i="6"/>
  <c r="D12" i="20"/>
  <c r="I12" i="20" s="1"/>
  <c r="D13" i="16"/>
  <c r="I13" i="16" s="1"/>
  <c r="D10" i="13"/>
  <c r="I10" i="13" s="1"/>
  <c r="D15" i="7"/>
  <c r="I15" i="7" s="1"/>
  <c r="F11" i="20"/>
  <c r="F13" i="19"/>
  <c r="F25" i="18"/>
  <c r="F12" i="17"/>
  <c r="F23" i="15"/>
  <c r="F12" i="16"/>
  <c r="F11" i="11"/>
  <c r="F23" i="13"/>
  <c r="G44" i="6"/>
  <c r="F12" i="14"/>
  <c r="J47" i="6"/>
  <c r="F5" i="18"/>
  <c r="F5" i="12"/>
  <c r="F5" i="15"/>
  <c r="G48" i="6"/>
  <c r="F10" i="18"/>
  <c r="F11" i="15"/>
  <c r="F12" i="8"/>
  <c r="F10" i="12"/>
  <c r="F7" i="20"/>
  <c r="F9" i="17"/>
  <c r="F7" i="11"/>
  <c r="F8" i="14"/>
  <c r="G57" i="6"/>
  <c r="F24" i="18"/>
  <c r="F22" i="15"/>
  <c r="F24" i="8"/>
  <c r="F20" i="12"/>
  <c r="G62" i="6"/>
  <c r="D2" i="6"/>
  <c r="F5" i="6"/>
  <c r="G6" i="6"/>
  <c r="G21" i="6"/>
  <c r="F21" i="6" s="1"/>
  <c r="E38" i="6"/>
  <c r="F38" i="6"/>
  <c r="G49" i="6"/>
  <c r="F49" i="6" s="1"/>
  <c r="I58" i="6"/>
  <c r="J58" i="6" s="1"/>
  <c r="F5" i="7"/>
  <c r="M5" i="7"/>
  <c r="L4" i="7"/>
  <c r="J7" i="7"/>
  <c r="F11" i="7"/>
  <c r="F22" i="13"/>
  <c r="D25" i="19"/>
  <c r="I25" i="19" s="1"/>
  <c r="D23" i="16"/>
  <c r="I23" i="16" s="1"/>
  <c r="D20" i="13"/>
  <c r="I20" i="13" s="1"/>
  <c r="F25" i="19"/>
  <c r="F23" i="16"/>
  <c r="F20" i="7"/>
  <c r="F20" i="13"/>
  <c r="D19" i="19"/>
  <c r="I19" i="19" s="1"/>
  <c r="D17" i="16"/>
  <c r="I17" i="16" s="1"/>
  <c r="D17" i="7"/>
  <c r="I17" i="7" s="1"/>
  <c r="D15" i="13"/>
  <c r="I15" i="13" s="1"/>
  <c r="F19" i="19"/>
  <c r="F17" i="16"/>
  <c r="F15" i="13"/>
  <c r="D7" i="19"/>
  <c r="I7" i="19" s="1"/>
  <c r="D8" i="17"/>
  <c r="I8" i="17" s="1"/>
  <c r="D7" i="14"/>
  <c r="I7" i="14" s="1"/>
  <c r="F28" i="19"/>
  <c r="F7" i="19"/>
  <c r="F8" i="17"/>
  <c r="F7" i="14"/>
  <c r="F26" i="16"/>
  <c r="D15" i="19"/>
  <c r="I15" i="19" s="1"/>
  <c r="D15" i="16"/>
  <c r="I15" i="16" s="1"/>
  <c r="D12" i="13"/>
  <c r="I12" i="13" s="1"/>
  <c r="F15" i="19"/>
  <c r="F15" i="16"/>
  <c r="F16" i="7"/>
  <c r="F12" i="13"/>
  <c r="D6" i="18"/>
  <c r="I6" i="18" s="1"/>
  <c r="D6" i="15"/>
  <c r="I6" i="15" s="1"/>
  <c r="D6" i="12"/>
  <c r="I6" i="12" s="1"/>
  <c r="D5" i="8"/>
  <c r="F6" i="18"/>
  <c r="F6" i="15"/>
  <c r="F6" i="12"/>
  <c r="G22" i="6"/>
  <c r="F22" i="6" s="1"/>
  <c r="D9" i="15"/>
  <c r="I9" i="15" s="1"/>
  <c r="D10" i="17"/>
  <c r="I10" i="17" s="1"/>
  <c r="F10" i="17"/>
  <c r="F9" i="15"/>
  <c r="F7" i="12"/>
  <c r="F8" i="8"/>
  <c r="D22" i="17"/>
  <c r="I22" i="17" s="1"/>
  <c r="D23" i="14"/>
  <c r="I23" i="14" s="1"/>
  <c r="D25" i="11"/>
  <c r="I25" i="11" s="1"/>
  <c r="F25" i="20"/>
  <c r="F22" i="17"/>
  <c r="F23" i="14"/>
  <c r="F25" i="11"/>
  <c r="D22" i="18"/>
  <c r="I22" i="18" s="1"/>
  <c r="D18" i="12"/>
  <c r="I18" i="12" s="1"/>
  <c r="D21" i="8"/>
  <c r="I21" i="8" s="1"/>
  <c r="D20" i="15"/>
  <c r="I20" i="15" s="1"/>
  <c r="F22" i="18"/>
  <c r="F20" i="15"/>
  <c r="F18" i="12"/>
  <c r="D17" i="19"/>
  <c r="I17" i="19" s="1"/>
  <c r="D6" i="17"/>
  <c r="I6" i="17" s="1"/>
  <c r="D18" i="11"/>
  <c r="I18" i="11" s="1"/>
  <c r="F17" i="19"/>
  <c r="F6" i="17"/>
  <c r="F13" i="13"/>
  <c r="F18" i="11"/>
  <c r="D10" i="11"/>
  <c r="I10" i="11" s="1"/>
  <c r="D11" i="14"/>
  <c r="I11" i="14" s="1"/>
  <c r="D11" i="8"/>
  <c r="I11" i="8" s="1"/>
  <c r="F11" i="18"/>
  <c r="F11" i="14"/>
  <c r="F10" i="11"/>
  <c r="F11" i="8"/>
  <c r="D26" i="19"/>
  <c r="I26" i="19" s="1"/>
  <c r="D24" i="16"/>
  <c r="I24" i="16" s="1"/>
  <c r="D23" i="7"/>
  <c r="I23" i="7" s="1"/>
  <c r="F26" i="19"/>
  <c r="F24" i="16"/>
  <c r="F21" i="13"/>
  <c r="G50" i="6"/>
  <c r="D15" i="20"/>
  <c r="I15" i="20" s="1"/>
  <c r="D15" i="15"/>
  <c r="I15" i="15" s="1"/>
  <c r="D16" i="18"/>
  <c r="I16" i="18" s="1"/>
  <c r="D13" i="12"/>
  <c r="I13" i="12" s="1"/>
  <c r="F15" i="20"/>
  <c r="F16" i="18"/>
  <c r="F15" i="15"/>
  <c r="F13" i="12"/>
  <c r="D24" i="18"/>
  <c r="I24" i="18" s="1"/>
  <c r="D22" i="15"/>
  <c r="I22" i="15" s="1"/>
  <c r="D20" i="12"/>
  <c r="I20" i="12" s="1"/>
  <c r="F14" i="20"/>
  <c r="F15" i="18"/>
  <c r="F13" i="11"/>
  <c r="D20" i="20"/>
  <c r="I20" i="20" s="1"/>
  <c r="D17" i="17"/>
  <c r="I17" i="17" s="1"/>
  <c r="D18" i="14"/>
  <c r="I18" i="14" s="1"/>
  <c r="D22" i="11"/>
  <c r="I22" i="11" s="1"/>
  <c r="G4" i="6"/>
  <c r="G9" i="6"/>
  <c r="F9" i="6" s="1"/>
  <c r="G13" i="6"/>
  <c r="F15" i="6"/>
  <c r="G17" i="6"/>
  <c r="F17" i="6" s="1"/>
  <c r="F19" i="6"/>
  <c r="F28" i="6"/>
  <c r="F54" i="6"/>
  <c r="G55" i="6"/>
  <c r="G63" i="6"/>
  <c r="F63" i="6" s="1"/>
  <c r="J5" i="7"/>
  <c r="J10" i="7"/>
  <c r="M13" i="7"/>
  <c r="F17" i="7"/>
  <c r="F23" i="7"/>
  <c r="F60" i="9"/>
  <c r="C23" i="4" s="1"/>
  <c r="F61" i="9"/>
  <c r="C24" i="4" s="1"/>
  <c r="F65" i="9"/>
  <c r="C28" i="4" s="1"/>
  <c r="F66" i="9"/>
  <c r="C29" i="4" s="1"/>
  <c r="F90" i="9"/>
  <c r="C53" i="4" s="1"/>
  <c r="F91" i="9"/>
  <c r="C54" i="4" s="1"/>
  <c r="B11" i="10"/>
  <c r="B15" i="10"/>
  <c r="B28" i="10"/>
  <c r="B35" i="10"/>
  <c r="B57" i="10"/>
  <c r="J25" i="11"/>
  <c r="L2" i="13"/>
  <c r="F74" i="9"/>
  <c r="C37" i="4" s="1"/>
  <c r="D7" i="12"/>
  <c r="I7" i="12" s="1"/>
  <c r="D13" i="13"/>
  <c r="I13" i="13" s="1"/>
  <c r="D5" i="20"/>
  <c r="D5" i="17"/>
  <c r="D5" i="14"/>
  <c r="D5" i="11"/>
  <c r="F5" i="20"/>
  <c r="F5" i="14"/>
  <c r="F5" i="17"/>
  <c r="F5" i="11"/>
  <c r="D28" i="18"/>
  <c r="I28" i="18" s="1"/>
  <c r="D26" i="15"/>
  <c r="I26" i="15" s="1"/>
  <c r="F28" i="18"/>
  <c r="F26" i="15"/>
  <c r="F23" i="12"/>
  <c r="F28" i="8"/>
  <c r="G52" i="6"/>
  <c r="F52" i="6" s="1"/>
  <c r="D10" i="20"/>
  <c r="I10" i="20" s="1"/>
  <c r="D11" i="17"/>
  <c r="I11" i="17" s="1"/>
  <c r="D9" i="14"/>
  <c r="I9" i="14" s="1"/>
  <c r="D9" i="11"/>
  <c r="I9" i="11" s="1"/>
  <c r="F10" i="20"/>
  <c r="F9" i="14"/>
  <c r="F9" i="11"/>
  <c r="F11" i="17"/>
  <c r="D17" i="18"/>
  <c r="I17" i="18" s="1"/>
  <c r="D16" i="15"/>
  <c r="I16" i="15" s="1"/>
  <c r="D15" i="8"/>
  <c r="I15" i="8" s="1"/>
  <c r="F13" i="20"/>
  <c r="F13" i="14"/>
  <c r="F13" i="17"/>
  <c r="F12" i="11"/>
  <c r="F13" i="6"/>
  <c r="F26" i="6"/>
  <c r="G27" i="6"/>
  <c r="F30" i="6"/>
  <c r="G31" i="6"/>
  <c r="G36" i="6"/>
  <c r="G41" i="6"/>
  <c r="F43" i="6"/>
  <c r="G45" i="6"/>
  <c r="F47" i="6"/>
  <c r="F56" i="6"/>
  <c r="G61" i="6"/>
  <c r="F61" i="6" s="1"/>
  <c r="C4" i="7"/>
  <c r="J14" i="7"/>
  <c r="D20" i="7"/>
  <c r="I20" i="7" s="1"/>
  <c r="F77" i="9"/>
  <c r="C40" i="4" s="1"/>
  <c r="F79" i="9"/>
  <c r="C42" i="4" s="1"/>
  <c r="F97" i="9"/>
  <c r="C60" i="4" s="1"/>
  <c r="J17" i="11"/>
  <c r="K4" i="12"/>
  <c r="M4" i="12" s="1"/>
  <c r="L4" i="14"/>
  <c r="M5" i="14"/>
  <c r="J15" i="11"/>
  <c r="J23" i="11"/>
  <c r="M6" i="12"/>
  <c r="M10" i="12"/>
  <c r="M14" i="12"/>
  <c r="M18" i="12"/>
  <c r="M22" i="12"/>
  <c r="M8" i="13"/>
  <c r="M12" i="13"/>
  <c r="M16" i="13"/>
  <c r="M20" i="13"/>
  <c r="J25" i="13"/>
  <c r="C4" i="13"/>
  <c r="D14" i="18"/>
  <c r="I14" i="18" s="1"/>
  <c r="D14" i="15"/>
  <c r="I14" i="15" s="1"/>
  <c r="D12" i="12"/>
  <c r="I12" i="12" s="1"/>
  <c r="F14" i="18"/>
  <c r="F14" i="15"/>
  <c r="F16" i="8"/>
  <c r="M9" i="7"/>
  <c r="M15" i="7"/>
  <c r="M5" i="8"/>
  <c r="K4" i="8"/>
  <c r="H35" i="9"/>
  <c r="P35" i="9"/>
  <c r="AF35" i="9"/>
  <c r="AV35" i="9"/>
  <c r="F41" i="9"/>
  <c r="C4" i="4" s="1"/>
  <c r="C64" i="4" s="1"/>
  <c r="F46" i="9"/>
  <c r="C9" i="4" s="1"/>
  <c r="F51" i="9"/>
  <c r="C14" i="4" s="1"/>
  <c r="F55" i="9"/>
  <c r="C18" i="4" s="1"/>
  <c r="F56" i="9"/>
  <c r="C19" i="4" s="1"/>
  <c r="F69" i="9"/>
  <c r="C32" i="4" s="1"/>
  <c r="F70" i="9"/>
  <c r="C33" i="4" s="1"/>
  <c r="F71" i="9"/>
  <c r="C34" i="4" s="1"/>
  <c r="F85" i="9"/>
  <c r="C48" i="4" s="1"/>
  <c r="F86" i="9"/>
  <c r="C49" i="4" s="1"/>
  <c r="F87" i="9"/>
  <c r="C50" i="4" s="1"/>
  <c r="B12" i="10"/>
  <c r="B16" i="10"/>
  <c r="B23" i="10"/>
  <c r="B40" i="10"/>
  <c r="B53" i="10"/>
  <c r="B59" i="10"/>
  <c r="B63" i="10"/>
  <c r="C4" i="11"/>
  <c r="M5" i="11"/>
  <c r="L4" i="11"/>
  <c r="J13" i="11"/>
  <c r="J21" i="11"/>
  <c r="K4" i="13"/>
  <c r="M4" i="13" s="1"/>
  <c r="G4" i="14"/>
  <c r="E4" i="8"/>
  <c r="J5" i="12"/>
  <c r="J5" i="13"/>
  <c r="E4" i="14"/>
  <c r="J23" i="14"/>
  <c r="L4" i="18"/>
  <c r="M8" i="16"/>
  <c r="M12" i="16"/>
  <c r="M16" i="16"/>
  <c r="M20" i="16"/>
  <c r="M24" i="16"/>
  <c r="M5" i="17"/>
  <c r="M9" i="17"/>
  <c r="M13" i="17"/>
  <c r="M17" i="17"/>
  <c r="M21" i="17"/>
  <c r="E4" i="18"/>
  <c r="M7" i="15"/>
  <c r="M11" i="15"/>
  <c r="M15" i="15"/>
  <c r="M19" i="15"/>
  <c r="M23" i="15"/>
  <c r="K4" i="16"/>
  <c r="M4" i="16" s="1"/>
  <c r="M5" i="18"/>
  <c r="J5" i="15"/>
  <c r="M5" i="15"/>
  <c r="L4" i="15"/>
  <c r="M6" i="16"/>
  <c r="M10" i="16"/>
  <c r="M14" i="16"/>
  <c r="M18" i="16"/>
  <c r="M22" i="16"/>
  <c r="M26" i="16"/>
  <c r="M7" i="17"/>
  <c r="M11" i="17"/>
  <c r="M15" i="17"/>
  <c r="M19" i="17"/>
  <c r="C4" i="18"/>
  <c r="C4" i="20"/>
  <c r="J6" i="20"/>
  <c r="J4" i="20" s="1"/>
  <c r="J5" i="16"/>
  <c r="J6" i="18"/>
  <c r="J19" i="18"/>
  <c r="M19" i="18"/>
  <c r="J27" i="18"/>
  <c r="M27" i="18"/>
  <c r="J10" i="19"/>
  <c r="M10" i="19"/>
  <c r="L4" i="17"/>
  <c r="J9" i="18"/>
  <c r="J17" i="18"/>
  <c r="M17" i="18"/>
  <c r="J25" i="18"/>
  <c r="M25" i="18"/>
  <c r="L4" i="19"/>
  <c r="J8" i="19"/>
  <c r="M8" i="19"/>
  <c r="J7" i="18"/>
  <c r="E4" i="19"/>
  <c r="K4" i="19"/>
  <c r="M11" i="19"/>
  <c r="L2" i="20"/>
  <c r="M13" i="19"/>
  <c r="M15" i="19"/>
  <c r="M17" i="19"/>
  <c r="M19" i="19"/>
  <c r="M21" i="19"/>
  <c r="M23" i="19"/>
  <c r="M25" i="19"/>
  <c r="M27" i="19"/>
  <c r="M6" i="20"/>
  <c r="M8" i="20"/>
  <c r="M10" i="20"/>
  <c r="M12" i="20"/>
  <c r="M14" i="20"/>
  <c r="M16" i="20"/>
  <c r="M18" i="20"/>
  <c r="M20" i="20"/>
  <c r="M22" i="20"/>
  <c r="M4" i="20" l="1"/>
  <c r="D122" i="1"/>
  <c r="D110" i="1"/>
  <c r="D62" i="1"/>
  <c r="J4" i="11"/>
  <c r="D26" i="1"/>
  <c r="J4" i="8"/>
  <c r="D86" i="1"/>
  <c r="D103" i="1"/>
  <c r="D115" i="1"/>
  <c r="M4" i="8"/>
  <c r="D50" i="1"/>
  <c r="D38" i="1"/>
  <c r="D14" i="1"/>
  <c r="D79" i="1"/>
  <c r="D43" i="1"/>
  <c r="B1" i="9"/>
  <c r="J4" i="13"/>
  <c r="J4" i="18"/>
  <c r="J4" i="12"/>
  <c r="D106" i="1"/>
  <c r="D58" i="1"/>
  <c r="D82" i="1"/>
  <c r="D118" i="1"/>
  <c r="D70" i="1"/>
  <c r="D22" i="1"/>
  <c r="D130" i="1"/>
  <c r="D34" i="1"/>
  <c r="D94" i="1"/>
  <c r="D46" i="1"/>
  <c r="D10" i="1"/>
  <c r="E10" i="1" s="1"/>
  <c r="F10" i="1" s="1"/>
  <c r="C11" i="1" s="1"/>
  <c r="J4" i="19"/>
  <c r="J4" i="16"/>
  <c r="J4" i="15"/>
  <c r="J4" i="14"/>
  <c r="J4" i="17"/>
  <c r="B1" i="21"/>
  <c r="M4" i="11"/>
  <c r="L2" i="11"/>
  <c r="I41" i="6"/>
  <c r="J41" i="6" s="1"/>
  <c r="I27" i="6"/>
  <c r="J27" i="6" s="1"/>
  <c r="F27" i="6"/>
  <c r="D4" i="20"/>
  <c r="I5" i="20"/>
  <c r="D131" i="1"/>
  <c r="D119" i="1"/>
  <c r="D107" i="1"/>
  <c r="D95" i="1"/>
  <c r="D83" i="1"/>
  <c r="D71" i="1"/>
  <c r="D59" i="1"/>
  <c r="D35" i="1"/>
  <c r="D47" i="1"/>
  <c r="D23" i="1"/>
  <c r="D11" i="1"/>
  <c r="F41" i="6"/>
  <c r="I17" i="6"/>
  <c r="J17" i="6" s="1"/>
  <c r="I9" i="6"/>
  <c r="J9" i="6" s="1"/>
  <c r="I50" i="6"/>
  <c r="J50" i="6" s="1"/>
  <c r="I43" i="6"/>
  <c r="J43" i="6" s="1"/>
  <c r="D4" i="16"/>
  <c r="I5" i="16"/>
  <c r="F64" i="6"/>
  <c r="I64" i="6"/>
  <c r="J64" i="6" s="1"/>
  <c r="I5" i="18"/>
  <c r="D4" i="18"/>
  <c r="I18" i="6"/>
  <c r="J18" i="6" s="1"/>
  <c r="F18" i="6"/>
  <c r="M4" i="19"/>
  <c r="L2" i="19"/>
  <c r="M4" i="18"/>
  <c r="L2" i="18"/>
  <c r="I36" i="6"/>
  <c r="J36" i="6" s="1"/>
  <c r="F36" i="6"/>
  <c r="D4" i="11"/>
  <c r="I5" i="11"/>
  <c r="I55" i="6"/>
  <c r="J55" i="6"/>
  <c r="F55" i="6"/>
  <c r="I6" i="6"/>
  <c r="J6" i="6" s="1"/>
  <c r="I62" i="6"/>
  <c r="J62" i="6" s="1"/>
  <c r="F62" i="6"/>
  <c r="F57" i="6"/>
  <c r="I57" i="6"/>
  <c r="J57" i="6" s="1"/>
  <c r="I44" i="6"/>
  <c r="J44" i="6" s="1"/>
  <c r="F44" i="6"/>
  <c r="F37" i="6"/>
  <c r="I37" i="6"/>
  <c r="J37" i="6" s="1"/>
  <c r="I28" i="6"/>
  <c r="J28" i="6" s="1"/>
  <c r="I20" i="6"/>
  <c r="J20" i="6" s="1"/>
  <c r="I56" i="6"/>
  <c r="J56" i="6" s="1"/>
  <c r="J51" i="6"/>
  <c r="F51" i="6"/>
  <c r="I51" i="6"/>
  <c r="I46" i="6"/>
  <c r="J46" i="6"/>
  <c r="F46" i="6"/>
  <c r="I30" i="6"/>
  <c r="J30" i="6" s="1"/>
  <c r="I14" i="6"/>
  <c r="J14" i="6" s="1"/>
  <c r="F14" i="6"/>
  <c r="I5" i="6"/>
  <c r="J5" i="6" s="1"/>
  <c r="D4" i="19"/>
  <c r="I5" i="19"/>
  <c r="I40" i="6"/>
  <c r="J40" i="6" s="1"/>
  <c r="F40" i="6"/>
  <c r="G2" i="6"/>
  <c r="I3" i="6"/>
  <c r="J3" i="6"/>
  <c r="F50" i="6"/>
  <c r="I23" i="6"/>
  <c r="J23" i="6" s="1"/>
  <c r="F23" i="6"/>
  <c r="I8" i="6"/>
  <c r="J8" i="6" s="1"/>
  <c r="F8" i="6"/>
  <c r="I54" i="6"/>
  <c r="J54" i="6" s="1"/>
  <c r="I33" i="6"/>
  <c r="J33" i="6" s="1"/>
  <c r="I12" i="6"/>
  <c r="J12" i="6" s="1"/>
  <c r="F12" i="6"/>
  <c r="D138" i="1"/>
  <c r="D126" i="1"/>
  <c r="D114" i="1"/>
  <c r="D102" i="1"/>
  <c r="D90" i="1"/>
  <c r="D78" i="1"/>
  <c r="D66" i="1"/>
  <c r="D54" i="1"/>
  <c r="D42" i="1"/>
  <c r="D30" i="1"/>
  <c r="D18" i="1"/>
  <c r="I61" i="6"/>
  <c r="J61" i="6" s="1"/>
  <c r="I45" i="6"/>
  <c r="J45" i="6" s="1"/>
  <c r="I31" i="6"/>
  <c r="J31" i="6" s="1"/>
  <c r="F31" i="6"/>
  <c r="I52" i="6"/>
  <c r="J52" i="6" s="1"/>
  <c r="D4" i="14"/>
  <c r="I5" i="14"/>
  <c r="J4" i="7"/>
  <c r="I13" i="6"/>
  <c r="J13" i="6" s="1"/>
  <c r="I4" i="6"/>
  <c r="J4" i="6" s="1"/>
  <c r="F4" i="6"/>
  <c r="I22" i="6"/>
  <c r="J22" i="6"/>
  <c r="I5" i="8"/>
  <c r="D4" i="8"/>
  <c r="M4" i="7"/>
  <c r="L2" i="7"/>
  <c r="I48" i="6"/>
  <c r="J48" i="6" s="1"/>
  <c r="F48" i="6"/>
  <c r="I16" i="6"/>
  <c r="J16" i="6" s="1"/>
  <c r="F16" i="6"/>
  <c r="I11" i="6"/>
  <c r="J11" i="6" s="1"/>
  <c r="F6" i="6"/>
  <c r="I35" i="6"/>
  <c r="J35" i="6" s="1"/>
  <c r="F24" i="6"/>
  <c r="I24" i="6"/>
  <c r="J24" i="6" s="1"/>
  <c r="I10" i="6"/>
  <c r="J10" i="6" s="1"/>
  <c r="F10" i="6"/>
  <c r="D4" i="7"/>
  <c r="I5" i="7"/>
  <c r="D4" i="12"/>
  <c r="I5" i="12"/>
  <c r="I42" i="6"/>
  <c r="J42" i="6" s="1"/>
  <c r="F42" i="6"/>
  <c r="D4" i="13"/>
  <c r="I29" i="6"/>
  <c r="J29" i="6" s="1"/>
  <c r="F29" i="6"/>
  <c r="M4" i="17"/>
  <c r="L2" i="17"/>
  <c r="M4" i="15"/>
  <c r="L2" i="15"/>
  <c r="M4" i="14"/>
  <c r="L2" i="14"/>
  <c r="I5" i="17"/>
  <c r="D4" i="17"/>
  <c r="I63" i="6"/>
  <c r="J63" i="6" s="1"/>
  <c r="F45" i="6"/>
  <c r="I49" i="6"/>
  <c r="J49" i="6" s="1"/>
  <c r="I21" i="6"/>
  <c r="J21" i="6" s="1"/>
  <c r="I32" i="6"/>
  <c r="J32" i="6" s="1"/>
  <c r="I26" i="6"/>
  <c r="J26" i="6" s="1"/>
  <c r="I15" i="6"/>
  <c r="J15" i="6" s="1"/>
  <c r="I39" i="6"/>
  <c r="J39" i="6" s="1"/>
  <c r="I38" i="6"/>
  <c r="J38" i="6" s="1"/>
  <c r="I59" i="6"/>
  <c r="J59" i="6" s="1"/>
  <c r="I5" i="15"/>
  <c r="D4" i="15"/>
  <c r="I19" i="6"/>
  <c r="J19" i="6" s="1"/>
  <c r="I7" i="6"/>
  <c r="J7" i="6" s="1"/>
  <c r="E11" i="1" l="1"/>
  <c r="F11" i="1" s="1"/>
  <c r="C12" i="1" s="1"/>
  <c r="D128" i="1"/>
  <c r="D116" i="1"/>
  <c r="D92" i="1"/>
  <c r="D80" i="1"/>
  <c r="D56" i="1"/>
  <c r="D44" i="1"/>
  <c r="D32" i="1"/>
  <c r="D104" i="1"/>
  <c r="D68" i="1"/>
  <c r="D20" i="1"/>
  <c r="D108" i="1"/>
  <c r="D72" i="1"/>
  <c r="D48" i="1"/>
  <c r="D24" i="1"/>
  <c r="D132" i="1"/>
  <c r="D120" i="1"/>
  <c r="D96" i="1"/>
  <c r="D84" i="1"/>
  <c r="D60" i="1"/>
  <c r="D36" i="1"/>
  <c r="D12" i="1"/>
  <c r="E12" i="1" s="1"/>
  <c r="F12" i="1" s="1"/>
  <c r="C13" i="1" s="1"/>
  <c r="D135" i="1"/>
  <c r="D123" i="1"/>
  <c r="D111" i="1"/>
  <c r="D99" i="1"/>
  <c r="D87" i="1"/>
  <c r="D75" i="1"/>
  <c r="D63" i="1"/>
  <c r="D51" i="1"/>
  <c r="D39" i="1"/>
  <c r="D27" i="1"/>
  <c r="D15" i="1"/>
  <c r="D136" i="1"/>
  <c r="D100" i="1"/>
  <c r="D64" i="1"/>
  <c r="D28" i="1"/>
  <c r="D124" i="1"/>
  <c r="D112" i="1"/>
  <c r="D88" i="1"/>
  <c r="D76" i="1"/>
  <c r="D52" i="1"/>
  <c r="D40" i="1"/>
  <c r="D16" i="1"/>
  <c r="D33" i="1"/>
  <c r="D45" i="1"/>
  <c r="D21" i="1"/>
  <c r="D105" i="1"/>
  <c r="D57" i="1"/>
  <c r="D117" i="1"/>
  <c r="D69" i="1"/>
  <c r="D129" i="1"/>
  <c r="D81" i="1"/>
  <c r="D93" i="1"/>
  <c r="D37" i="1"/>
  <c r="D25" i="1"/>
  <c r="D133" i="1"/>
  <c r="D85" i="1"/>
  <c r="D97" i="1"/>
  <c r="D49" i="1"/>
  <c r="D73" i="1"/>
  <c r="D109" i="1"/>
  <c r="D61" i="1"/>
  <c r="D13" i="1"/>
  <c r="D121" i="1"/>
  <c r="D17" i="1"/>
  <c r="D41" i="1"/>
  <c r="D29" i="1"/>
  <c r="D113" i="1"/>
  <c r="D65" i="1"/>
  <c r="D125" i="1"/>
  <c r="D77" i="1"/>
  <c r="D101" i="1"/>
  <c r="D53" i="1"/>
  <c r="D137" i="1"/>
  <c r="D89" i="1"/>
  <c r="E13" i="1" l="1"/>
  <c r="F13" i="1" s="1"/>
  <c r="C14" i="1" s="1"/>
  <c r="E14" i="1" s="1"/>
  <c r="F14" i="1" s="1"/>
  <c r="C15" i="1" s="1"/>
  <c r="E15" i="1" s="1"/>
  <c r="F15" i="1" s="1"/>
  <c r="C16" i="1" s="1"/>
  <c r="E16" i="1" s="1"/>
  <c r="F16" i="1" s="1"/>
  <c r="C17" i="1" s="1"/>
  <c r="E17" i="1" s="1"/>
  <c r="F17" i="1" s="1"/>
  <c r="C18" i="1" s="1"/>
  <c r="E18" i="1" s="1"/>
  <c r="F18" i="1" l="1"/>
  <c r="C19" i="1" s="1"/>
  <c r="J3" i="1"/>
  <c r="K4" i="1" s="1"/>
  <c r="E19" i="1" l="1"/>
  <c r="F19" i="1" s="1"/>
  <c r="C20" i="1" s="1"/>
  <c r="E20" i="1" s="1"/>
  <c r="F20" i="1" s="1"/>
  <c r="C21" i="1" s="1"/>
  <c r="E21" i="1" s="1"/>
  <c r="F21" i="1" s="1"/>
  <c r="C22" i="1" s="1"/>
  <c r="E22" i="1" s="1"/>
  <c r="F22" i="1" s="1"/>
  <c r="C23" i="1" s="1"/>
  <c r="E23" i="1" s="1"/>
  <c r="F23" i="1" s="1"/>
  <c r="C24" i="1" s="1"/>
  <c r="E24" i="1" s="1"/>
  <c r="F24" i="1" s="1"/>
  <c r="C25" i="1" s="1"/>
  <c r="E25" i="1" s="1"/>
  <c r="F25" i="1" s="1"/>
  <c r="C26" i="1" s="1"/>
  <c r="E26" i="1" s="1"/>
  <c r="F26" i="1" s="1"/>
  <c r="C27" i="1" s="1"/>
  <c r="E27" i="1" s="1"/>
  <c r="F27" i="1" s="1"/>
  <c r="C28" i="1" s="1"/>
  <c r="E28" i="1" s="1"/>
  <c r="F28" i="1" s="1"/>
  <c r="C29" i="1" s="1"/>
  <c r="E29" i="1" s="1"/>
  <c r="F29" i="1" s="1"/>
  <c r="C30" i="1" s="1"/>
  <c r="E30" i="1" s="1"/>
  <c r="J4" i="1" l="1"/>
  <c r="K5" i="1" s="1"/>
  <c r="F30" i="1"/>
  <c r="C31" i="1" s="1"/>
  <c r="E31" i="1" s="1"/>
  <c r="F31" i="1" s="1"/>
  <c r="C32" i="1" s="1"/>
  <c r="E32" i="1" s="1"/>
  <c r="F32" i="1" s="1"/>
  <c r="C33" i="1" s="1"/>
  <c r="E33" i="1" s="1"/>
  <c r="F33" i="1" s="1"/>
  <c r="C34" i="1" s="1"/>
  <c r="E34" i="1" s="1"/>
  <c r="F34" i="1" s="1"/>
  <c r="C35" i="1" s="1"/>
  <c r="E35" i="1" s="1"/>
  <c r="F35" i="1" s="1"/>
  <c r="C36" i="1" s="1"/>
  <c r="E36" i="1" s="1"/>
  <c r="F36" i="1" s="1"/>
  <c r="C37" i="1" s="1"/>
  <c r="E37" i="1" s="1"/>
  <c r="F37" i="1" s="1"/>
  <c r="C38" i="1" s="1"/>
  <c r="E38" i="1" s="1"/>
  <c r="F38" i="1" s="1"/>
  <c r="C39" i="1" s="1"/>
  <c r="E39" i="1" s="1"/>
  <c r="F39" i="1" s="1"/>
  <c r="C40" i="1" s="1"/>
  <c r="E40" i="1" s="1"/>
  <c r="F40" i="1" s="1"/>
  <c r="C41" i="1" s="1"/>
  <c r="E41" i="1" s="1"/>
  <c r="F41" i="1" s="1"/>
  <c r="C42" i="1" s="1"/>
  <c r="E42" i="1" s="1"/>
  <c r="J5" i="1" l="1"/>
  <c r="K6" i="1" s="1"/>
  <c r="F42" i="1"/>
  <c r="C43" i="1" s="1"/>
  <c r="E43" i="1" s="1"/>
  <c r="F43" i="1" s="1"/>
  <c r="C44" i="1" s="1"/>
  <c r="E44" i="1" s="1"/>
  <c r="F44" i="1" s="1"/>
  <c r="C45" i="1" s="1"/>
  <c r="E45" i="1" s="1"/>
  <c r="F45" i="1" s="1"/>
  <c r="C46" i="1" s="1"/>
  <c r="E46" i="1" s="1"/>
  <c r="F46" i="1" s="1"/>
  <c r="C47" i="1" s="1"/>
  <c r="E47" i="1" s="1"/>
  <c r="F47" i="1" s="1"/>
  <c r="C48" i="1" s="1"/>
  <c r="E48" i="1" s="1"/>
  <c r="F48" i="1" s="1"/>
  <c r="C49" i="1" s="1"/>
  <c r="E49" i="1" s="1"/>
  <c r="F49" i="1" s="1"/>
  <c r="C50" i="1" s="1"/>
  <c r="E50" i="1" s="1"/>
  <c r="F50" i="1" s="1"/>
  <c r="C51" i="1" s="1"/>
  <c r="E51" i="1" s="1"/>
  <c r="F51" i="1" s="1"/>
  <c r="C52" i="1" s="1"/>
  <c r="E52" i="1" s="1"/>
  <c r="F52" i="1" s="1"/>
  <c r="C53" i="1" s="1"/>
  <c r="E53" i="1" s="1"/>
  <c r="F53" i="1" s="1"/>
  <c r="C54" i="1" s="1"/>
  <c r="E54" i="1" s="1"/>
  <c r="F54" i="1" l="1"/>
  <c r="C55" i="1" s="1"/>
  <c r="E55" i="1" s="1"/>
  <c r="F55" i="1" s="1"/>
  <c r="C56" i="1" s="1"/>
  <c r="E56" i="1" s="1"/>
  <c r="F56" i="1" s="1"/>
  <c r="C57" i="1" s="1"/>
  <c r="E57" i="1" s="1"/>
  <c r="F57" i="1" s="1"/>
  <c r="C58" i="1" s="1"/>
  <c r="E58" i="1" s="1"/>
  <c r="F58" i="1" s="1"/>
  <c r="C59" i="1" s="1"/>
  <c r="E59" i="1" s="1"/>
  <c r="F59" i="1" s="1"/>
  <c r="C60" i="1" s="1"/>
  <c r="E60" i="1" s="1"/>
  <c r="F60" i="1" s="1"/>
  <c r="C61" i="1" s="1"/>
  <c r="E61" i="1" s="1"/>
  <c r="F61" i="1" s="1"/>
  <c r="C62" i="1" s="1"/>
  <c r="E62" i="1" s="1"/>
  <c r="F62" i="1" s="1"/>
  <c r="C63" i="1" s="1"/>
  <c r="E63" i="1" s="1"/>
  <c r="F63" i="1" s="1"/>
  <c r="C64" i="1" s="1"/>
  <c r="E64" i="1" s="1"/>
  <c r="F64" i="1" s="1"/>
  <c r="C65" i="1" s="1"/>
  <c r="E65" i="1" s="1"/>
  <c r="F65" i="1" s="1"/>
  <c r="C66" i="1" s="1"/>
  <c r="E66" i="1" s="1"/>
  <c r="J6" i="1"/>
  <c r="K7" i="1" s="1"/>
  <c r="F66" i="1" l="1"/>
  <c r="C67" i="1" s="1"/>
  <c r="E67" i="1" s="1"/>
  <c r="F67" i="1" s="1"/>
  <c r="C68" i="1" s="1"/>
  <c r="E68" i="1" s="1"/>
  <c r="F68" i="1" s="1"/>
  <c r="C69" i="1" s="1"/>
  <c r="E69" i="1" s="1"/>
  <c r="F69" i="1" s="1"/>
  <c r="C70" i="1" s="1"/>
  <c r="E70" i="1" s="1"/>
  <c r="F70" i="1" s="1"/>
  <c r="C71" i="1" s="1"/>
  <c r="E71" i="1" s="1"/>
  <c r="F71" i="1" s="1"/>
  <c r="C72" i="1" s="1"/>
  <c r="E72" i="1" s="1"/>
  <c r="F72" i="1" s="1"/>
  <c r="C73" i="1" s="1"/>
  <c r="E73" i="1" s="1"/>
  <c r="F73" i="1" s="1"/>
  <c r="C74" i="1" s="1"/>
  <c r="E74" i="1" s="1"/>
  <c r="F74" i="1" s="1"/>
  <c r="C75" i="1" s="1"/>
  <c r="E75" i="1" s="1"/>
  <c r="F75" i="1" s="1"/>
  <c r="C76" i="1" s="1"/>
  <c r="E76" i="1" s="1"/>
  <c r="F76" i="1" s="1"/>
  <c r="C77" i="1" s="1"/>
  <c r="E77" i="1" s="1"/>
  <c r="F77" i="1" s="1"/>
  <c r="C78" i="1" s="1"/>
  <c r="E78" i="1" s="1"/>
  <c r="J7" i="1"/>
  <c r="K8" i="1" s="1"/>
  <c r="F78" i="1" l="1"/>
  <c r="C79" i="1" s="1"/>
  <c r="E79" i="1" s="1"/>
  <c r="F79" i="1" s="1"/>
  <c r="C80" i="1" s="1"/>
  <c r="E80" i="1" s="1"/>
  <c r="F80" i="1" s="1"/>
  <c r="C81" i="1" s="1"/>
  <c r="E81" i="1" s="1"/>
  <c r="F81" i="1" s="1"/>
  <c r="C82" i="1" s="1"/>
  <c r="E82" i="1" s="1"/>
  <c r="F82" i="1" s="1"/>
  <c r="C83" i="1" s="1"/>
  <c r="E83" i="1" s="1"/>
  <c r="F83" i="1" s="1"/>
  <c r="C84" i="1" s="1"/>
  <c r="E84" i="1" s="1"/>
  <c r="F84" i="1" s="1"/>
  <c r="C85" i="1" s="1"/>
  <c r="E85" i="1" s="1"/>
  <c r="F85" i="1" s="1"/>
  <c r="C86" i="1" s="1"/>
  <c r="E86" i="1" s="1"/>
  <c r="F86" i="1" s="1"/>
  <c r="C87" i="1" s="1"/>
  <c r="E87" i="1" s="1"/>
  <c r="F87" i="1" s="1"/>
  <c r="C88" i="1" s="1"/>
  <c r="E88" i="1" s="1"/>
  <c r="F88" i="1" s="1"/>
  <c r="C89" i="1" s="1"/>
  <c r="E89" i="1" s="1"/>
  <c r="F89" i="1" s="1"/>
  <c r="C90" i="1" s="1"/>
  <c r="E90" i="1" s="1"/>
  <c r="J8" i="1"/>
  <c r="K9" i="1" s="1"/>
  <c r="F90" i="1" l="1"/>
  <c r="C91" i="1" s="1"/>
  <c r="E91" i="1" s="1"/>
  <c r="F91" i="1" s="1"/>
  <c r="C92" i="1" s="1"/>
  <c r="E92" i="1" s="1"/>
  <c r="F92" i="1" s="1"/>
  <c r="C93" i="1" s="1"/>
  <c r="E93" i="1" s="1"/>
  <c r="F93" i="1" s="1"/>
  <c r="C94" i="1" s="1"/>
  <c r="E94" i="1" s="1"/>
  <c r="F94" i="1" s="1"/>
  <c r="C95" i="1" s="1"/>
  <c r="E95" i="1" s="1"/>
  <c r="F95" i="1" s="1"/>
  <c r="C96" i="1" s="1"/>
  <c r="E96" i="1" s="1"/>
  <c r="F96" i="1" s="1"/>
  <c r="C97" i="1" s="1"/>
  <c r="E97" i="1" s="1"/>
  <c r="F97" i="1" s="1"/>
  <c r="C98" i="1" s="1"/>
  <c r="E98" i="1" s="1"/>
  <c r="F98" i="1" s="1"/>
  <c r="C99" i="1" s="1"/>
  <c r="E99" i="1" s="1"/>
  <c r="F99" i="1" s="1"/>
  <c r="C100" i="1" s="1"/>
  <c r="E100" i="1" s="1"/>
  <c r="F100" i="1" s="1"/>
  <c r="C101" i="1" s="1"/>
  <c r="E101" i="1" s="1"/>
  <c r="F101" i="1" s="1"/>
  <c r="C102" i="1" s="1"/>
  <c r="E102" i="1" s="1"/>
  <c r="J9" i="1"/>
  <c r="K10" i="1" s="1"/>
  <c r="F102" i="1" l="1"/>
  <c r="C103" i="1" s="1"/>
  <c r="E103" i="1" s="1"/>
  <c r="F103" i="1" s="1"/>
  <c r="C104" i="1" s="1"/>
  <c r="E104" i="1" s="1"/>
  <c r="F104" i="1" s="1"/>
  <c r="C105" i="1" s="1"/>
  <c r="E105" i="1" s="1"/>
  <c r="F105" i="1" s="1"/>
  <c r="C106" i="1" s="1"/>
  <c r="E106" i="1" s="1"/>
  <c r="F106" i="1" s="1"/>
  <c r="C107" i="1" s="1"/>
  <c r="E107" i="1" s="1"/>
  <c r="F107" i="1" s="1"/>
  <c r="C108" i="1" s="1"/>
  <c r="E108" i="1" s="1"/>
  <c r="F108" i="1" s="1"/>
  <c r="C109" i="1" s="1"/>
  <c r="E109" i="1" s="1"/>
  <c r="F109" i="1" s="1"/>
  <c r="C110" i="1" s="1"/>
  <c r="E110" i="1" s="1"/>
  <c r="F110" i="1" s="1"/>
  <c r="C111" i="1" s="1"/>
  <c r="E111" i="1" s="1"/>
  <c r="F111" i="1" s="1"/>
  <c r="C112" i="1" s="1"/>
  <c r="E112" i="1" s="1"/>
  <c r="F112" i="1" s="1"/>
  <c r="C113" i="1" s="1"/>
  <c r="E113" i="1" s="1"/>
  <c r="F113" i="1" s="1"/>
  <c r="C114" i="1" s="1"/>
  <c r="E114" i="1" s="1"/>
  <c r="J10" i="1"/>
  <c r="K11" i="1" s="1"/>
  <c r="F114" i="1" l="1"/>
  <c r="C115" i="1" s="1"/>
  <c r="E115" i="1" s="1"/>
  <c r="F115" i="1" s="1"/>
  <c r="C116" i="1" s="1"/>
  <c r="E116" i="1" s="1"/>
  <c r="F116" i="1" s="1"/>
  <c r="C117" i="1" s="1"/>
  <c r="E117" i="1" s="1"/>
  <c r="F117" i="1" s="1"/>
  <c r="C118" i="1" s="1"/>
  <c r="E118" i="1" s="1"/>
  <c r="F118" i="1" s="1"/>
  <c r="C119" i="1" s="1"/>
  <c r="E119" i="1" s="1"/>
  <c r="F119" i="1" s="1"/>
  <c r="C120" i="1" s="1"/>
  <c r="E120" i="1" s="1"/>
  <c r="F120" i="1" s="1"/>
  <c r="C121" i="1" s="1"/>
  <c r="E121" i="1" s="1"/>
  <c r="F121" i="1" s="1"/>
  <c r="C122" i="1" s="1"/>
  <c r="E122" i="1" s="1"/>
  <c r="F122" i="1" s="1"/>
  <c r="C123" i="1" s="1"/>
  <c r="E123" i="1" s="1"/>
  <c r="F123" i="1" s="1"/>
  <c r="C124" i="1" s="1"/>
  <c r="E124" i="1" s="1"/>
  <c r="F124" i="1" s="1"/>
  <c r="C125" i="1" s="1"/>
  <c r="E125" i="1" s="1"/>
  <c r="F125" i="1" s="1"/>
  <c r="C126" i="1" s="1"/>
  <c r="E126" i="1" s="1"/>
  <c r="J11" i="1"/>
  <c r="K12" i="1" s="1"/>
  <c r="F126" i="1" l="1"/>
  <c r="C127" i="1" s="1"/>
  <c r="E127" i="1" s="1"/>
  <c r="F127" i="1" s="1"/>
  <c r="C128" i="1" s="1"/>
  <c r="E128" i="1" s="1"/>
  <c r="F128" i="1" s="1"/>
  <c r="C129" i="1" s="1"/>
  <c r="E129" i="1" s="1"/>
  <c r="F129" i="1" s="1"/>
  <c r="C130" i="1" s="1"/>
  <c r="E130" i="1" s="1"/>
  <c r="F130" i="1" s="1"/>
  <c r="C131" i="1" s="1"/>
  <c r="E131" i="1" s="1"/>
  <c r="F131" i="1" s="1"/>
  <c r="C132" i="1" s="1"/>
  <c r="E132" i="1" s="1"/>
  <c r="F132" i="1" s="1"/>
  <c r="C133" i="1" s="1"/>
  <c r="E133" i="1" s="1"/>
  <c r="F133" i="1" s="1"/>
  <c r="C134" i="1" s="1"/>
  <c r="E134" i="1" s="1"/>
  <c r="F134" i="1" s="1"/>
  <c r="C135" i="1" s="1"/>
  <c r="E135" i="1" s="1"/>
  <c r="F135" i="1" s="1"/>
  <c r="C136" i="1" s="1"/>
  <c r="E136" i="1" s="1"/>
  <c r="F136" i="1" s="1"/>
  <c r="C137" i="1" s="1"/>
  <c r="E137" i="1" s="1"/>
  <c r="F137" i="1" s="1"/>
  <c r="C138" i="1" s="1"/>
  <c r="J12" i="1"/>
  <c r="K13" i="1" s="1"/>
  <c r="E138" i="1" l="1"/>
  <c r="C139" i="1"/>
  <c r="F138" i="1" l="1"/>
  <c r="J13" i="1"/>
</calcChain>
</file>

<file path=xl/sharedStrings.xml><?xml version="1.0" encoding="utf-8"?>
<sst xmlns="http://schemas.openxmlformats.org/spreadsheetml/2006/main" count="1054" uniqueCount="211">
  <si>
    <t>Year</t>
  </si>
  <si>
    <t>Month</t>
  </si>
  <si>
    <t>Invested</t>
  </si>
  <si>
    <t>Return</t>
  </si>
  <si>
    <t>Win Per Year</t>
  </si>
  <si>
    <t>Win Per Month</t>
  </si>
  <si>
    <t>Fix Invest</t>
  </si>
  <si>
    <t>Win/Year</t>
  </si>
  <si>
    <t>August</t>
  </si>
  <si>
    <t>September</t>
  </si>
  <si>
    <t>Octomber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</si>
  <si>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</si>
  <si>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</si>
  <si>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</si>
  <si>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</si>
  <si>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</si>
  <si>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</si>
  <si>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</si>
  <si>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</si>
  <si>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</si>
  <si>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EOD Rata BT</t>
  </si>
  <si>
    <t>EOD UniCredit</t>
  </si>
  <si>
    <t>Total</t>
  </si>
  <si>
    <t>Ianuarie</t>
  </si>
  <si>
    <t>Februarie</t>
  </si>
  <si>
    <t>Martie</t>
  </si>
  <si>
    <t>Aprilie</t>
  </si>
  <si>
    <t>Mai</t>
  </si>
  <si>
    <t>Iunie</t>
  </si>
  <si>
    <t>Iulie</t>
  </si>
  <si>
    <t>Septembrie</t>
  </si>
  <si>
    <t>Octombrie</t>
  </si>
  <si>
    <t>Noiembrie</t>
  </si>
  <si>
    <t>Decembrie</t>
  </si>
  <si>
    <t>Share</t>
  </si>
  <si>
    <t>Share price</t>
  </si>
  <si>
    <t>EPS</t>
  </si>
  <si>
    <t>Groth rate 5Y</t>
  </si>
  <si>
    <t>Intresinc Value</t>
  </si>
  <si>
    <t>Diference Price</t>
  </si>
  <si>
    <t>Sell/Buy/Reject</t>
  </si>
  <si>
    <t>P/E no growth</t>
  </si>
  <si>
    <t>2g</t>
  </si>
  <si>
    <t>CWH</t>
  </si>
  <si>
    <t>Average Yield AAA</t>
  </si>
  <si>
    <t>MCD</t>
  </si>
  <si>
    <t>Current Average Yield AAA corporate bonds</t>
  </si>
  <si>
    <t>GPC</t>
  </si>
  <si>
    <t>Aceptable Price Diference</t>
  </si>
  <si>
    <t>LVMH</t>
  </si>
  <si>
    <t>NWL</t>
  </si>
  <si>
    <t>EL</t>
  </si>
  <si>
    <t>KO</t>
  </si>
  <si>
    <t>MO</t>
  </si>
  <si>
    <t>UVV</t>
  </si>
  <si>
    <t>X</t>
  </si>
  <si>
    <t>PM</t>
  </si>
  <si>
    <t>BTI</t>
  </si>
  <si>
    <t>PEP</t>
  </si>
  <si>
    <t>CL</t>
  </si>
  <si>
    <t>PG</t>
  </si>
  <si>
    <t>KMB</t>
  </si>
  <si>
    <t>CAG</t>
  </si>
  <si>
    <t>SYY</t>
  </si>
  <si>
    <t>DVN</t>
  </si>
  <si>
    <t>OKE</t>
  </si>
  <si>
    <t>ENB</t>
  </si>
  <si>
    <t>CVX</t>
  </si>
  <si>
    <t>BP</t>
  </si>
  <si>
    <t>TRIG</t>
  </si>
  <si>
    <t>TROW</t>
  </si>
  <si>
    <t>BSIF</t>
  </si>
  <si>
    <t>JPM</t>
  </si>
  <si>
    <t>NYCB</t>
  </si>
  <si>
    <t>CINF</t>
  </si>
  <si>
    <t>AFG</t>
  </si>
  <si>
    <t>ALLY</t>
  </si>
  <si>
    <t>DOV</t>
  </si>
  <si>
    <t>PH</t>
  </si>
  <si>
    <t>EMR</t>
  </si>
  <si>
    <t>CMI</t>
  </si>
  <si>
    <t>GD</t>
  </si>
  <si>
    <t>DE</t>
  </si>
  <si>
    <t>CAT</t>
  </si>
  <si>
    <t>EPR</t>
  </si>
  <si>
    <t>AMT</t>
  </si>
  <si>
    <t>GLPI</t>
  </si>
  <si>
    <t>FRT</t>
  </si>
  <si>
    <t>O</t>
  </si>
  <si>
    <t>NNN</t>
  </si>
  <si>
    <t>SPG</t>
  </si>
  <si>
    <t>GNL</t>
  </si>
  <si>
    <t>ABR</t>
  </si>
  <si>
    <t>QCOM</t>
  </si>
  <si>
    <t>TSM</t>
  </si>
  <si>
    <t>MSFT</t>
  </si>
  <si>
    <t>AAPL</t>
  </si>
  <si>
    <t>IBM</t>
  </si>
  <si>
    <t>JNJ</t>
  </si>
  <si>
    <t>PFE</t>
  </si>
  <si>
    <t>ABBV</t>
  </si>
  <si>
    <t>VZ</t>
  </si>
  <si>
    <t>T</t>
  </si>
  <si>
    <t>SO</t>
  </si>
  <si>
    <t>DUK</t>
  </si>
  <si>
    <t>EIX</t>
  </si>
  <si>
    <t>AWR</t>
  </si>
  <si>
    <t>NWN</t>
  </si>
  <si>
    <t>APD</t>
  </si>
  <si>
    <t>ROI 2022</t>
  </si>
  <si>
    <t>ROI 2023</t>
  </si>
  <si>
    <t>Media</t>
  </si>
  <si>
    <t>`</t>
  </si>
  <si>
    <t>Yield per year</t>
  </si>
  <si>
    <t>Pay per share</t>
  </si>
  <si>
    <t>Intrinsec Value</t>
  </si>
  <si>
    <t>Intrest peeak</t>
  </si>
  <si>
    <t>Owned shares</t>
  </si>
  <si>
    <t>Tax ratio %</t>
  </si>
  <si>
    <t xml:space="preserve"> Tax value</t>
  </si>
  <si>
    <t>Profit</t>
  </si>
  <si>
    <t>Sector</t>
  </si>
  <si>
    <t>Industry</t>
  </si>
  <si>
    <t>Employees</t>
  </si>
  <si>
    <t>Consumer Cyclical</t>
  </si>
  <si>
    <t>Auto &amp; Truck Dealerships</t>
  </si>
  <si>
    <t>Restaurants</t>
  </si>
  <si>
    <t>Specialty Retail</t>
  </si>
  <si>
    <t>Luxury Goods</t>
  </si>
  <si>
    <t>Consumer Defensive</t>
  </si>
  <si>
    <t>Household &amp; Personal Products</t>
  </si>
  <si>
    <t>-</t>
  </si>
  <si>
    <t>Beverages—Non-Alcoholic</t>
  </si>
  <si>
    <t>Tobacco</t>
  </si>
  <si>
    <t>Packaged Foods</t>
  </si>
  <si>
    <t>Food Distribution</t>
  </si>
  <si>
    <t>Energy</t>
  </si>
  <si>
    <t>Oil &amp; Gas E&amp;P</t>
  </si>
  <si>
    <t>Oil &amp; Gas Midstream</t>
  </si>
  <si>
    <t>Oil &amp; Gas Integrated</t>
  </si>
  <si>
    <t>Renewable Energy Infrastructure</t>
  </si>
  <si>
    <t>Financial Services</t>
  </si>
  <si>
    <t>Asset Management</t>
  </si>
  <si>
    <t>Banks—Diversified</t>
  </si>
  <si>
    <t>Banks—Regional</t>
  </si>
  <si>
    <t>Insurance—Property &amp; Casualty</t>
  </si>
  <si>
    <t>Credit Services</t>
  </si>
  <si>
    <t>Industrials</t>
  </si>
  <si>
    <t>Specialty Industrial Machinery</t>
  </si>
  <si>
    <t>Aerospace &amp; Defense</t>
  </si>
  <si>
    <t>Farm &amp; Heavy Construction Machinery</t>
  </si>
  <si>
    <t>Real Estate</t>
  </si>
  <si>
    <t>REIT—Specialty</t>
  </si>
  <si>
    <t>REIT—Retail</t>
  </si>
  <si>
    <t>REIT—Diversified</t>
  </si>
  <si>
    <t>REIT—Mortgage</t>
  </si>
  <si>
    <t>Technology</t>
  </si>
  <si>
    <t>Semiconductors</t>
  </si>
  <si>
    <t>Software—Infrastructure</t>
  </si>
  <si>
    <t>Consumer Electronics</t>
  </si>
  <si>
    <t>Information Technology Services</t>
  </si>
  <si>
    <t>Healthcare</t>
  </si>
  <si>
    <t>Drug Manufacturers—General</t>
  </si>
  <si>
    <t>Communication Services</t>
  </si>
  <si>
    <t>Telecom Services</t>
  </si>
  <si>
    <t>Utilities</t>
  </si>
  <si>
    <t>Utilities—Regulated Electric</t>
  </si>
  <si>
    <t>Utilities—Regulated Water</t>
  </si>
  <si>
    <t>Utilities—Regulated Gas</t>
  </si>
  <si>
    <t>Basic Materials</t>
  </si>
  <si>
    <t>Specialty Chemicals</t>
  </si>
  <si>
    <t>Investment rule</t>
  </si>
  <si>
    <t>0 - 0,2</t>
  </si>
  <si>
    <t>0,2 - 0,5</t>
  </si>
  <si>
    <t>0,5 - 1</t>
  </si>
  <si>
    <t>1 - 1,5</t>
  </si>
  <si>
    <t>1,5 - 2</t>
  </si>
  <si>
    <t>&gt; 2</t>
  </si>
  <si>
    <t>Extra Investment</t>
  </si>
  <si>
    <t>Randament Inv</t>
  </si>
  <si>
    <t>Value</t>
  </si>
  <si>
    <t>Share number</t>
  </si>
  <si>
    <t>Investment $</t>
  </si>
  <si>
    <t>Investment Lei</t>
  </si>
  <si>
    <t>Rentabilitate</t>
  </si>
  <si>
    <t>Profit $</t>
  </si>
  <si>
    <t>Profit Lei</t>
  </si>
  <si>
    <t>Profit inv</t>
  </si>
  <si>
    <t>Procent castig</t>
  </si>
  <si>
    <t>2x</t>
  </si>
  <si>
    <t>Q1</t>
  </si>
  <si>
    <t>Q2</t>
  </si>
  <si>
    <t>Q3</t>
  </si>
  <si>
    <t>Q4</t>
  </si>
  <si>
    <t>Predicted Profit</t>
  </si>
  <si>
    <t>Total Profit</t>
  </si>
  <si>
    <t>Total Pred.</t>
  </si>
  <si>
    <t>Q1 (ian - mar)</t>
  </si>
  <si>
    <t>Q2 (apr - iun)</t>
  </si>
  <si>
    <t>Q3 (iul - sep)</t>
  </si>
  <si>
    <t>Q4 (oct - dec)</t>
  </si>
  <si>
    <t>TOTAL  YEAR</t>
  </si>
  <si>
    <t>TOTAL ALL</t>
  </si>
  <si>
    <t>Dividend reinv</t>
  </si>
  <si>
    <t>x2</t>
  </si>
  <si>
    <t>2 - 2,5</t>
  </si>
  <si>
    <t>2,5 - 3</t>
  </si>
  <si>
    <t xml:space="preserve"> &gt; 3</t>
  </si>
  <si>
    <t>ZIM</t>
  </si>
  <si>
    <t xml:space="preserve">                     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</si>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</sst>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[$lei-418]"/>
    <numFmt numFmtId="165" formatCode="_(* #,##0.00_)\ [$lei-418]_);\(#,##0.00\)\ [$lei-418]_);_(* &quot;-&quot;??_)\ [$lei-418]_);_(@"/>
    <numFmt numFmtId="166" formatCode="[$$]#,##0.00"/>
    <numFmt numFmtId="167" formatCode="[$€]#,##0.00"/>
    <numFmt numFmtId="168" formatCode="[$c$]#,##0.00"/>
    <numFmt numFmtId="169" formatCode="[$p]#,##0.00"/>
    <numFmt numFmtId="170" formatCode="[$£]#,##0.00"/>
  </numFmts>
  <fonts count="4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B7B7B7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trike/>
      <sz val="10"/>
      <color theme="0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trike/>
      <sz val="10"/>
      <color rgb="FFFFFFFF"/>
      <name val="Arial"/>
      <scheme val="minor"/>
    </font>
    <font>
      <strike/>
      <sz val="10"/>
      <color rgb="FF000000"/>
      <name val="Arial"/>
      <scheme val="minor"/>
    </font>
    <font>
      <sz val="10"/>
      <color theme="0"/>
      <name val="Arial"/>
      <scheme val="minor"/>
    </font>
    <font>
      <b/>
      <sz val="11"/>
      <color theme="1"/>
      <name val="Inconsolata"/>
    </font>
    <font>
      <b/>
      <sz val="11"/>
      <color rgb="FFF7981D"/>
      <name val="Inconsolata"/>
    </font>
    <font>
      <sz val="11"/>
      <color rgb="FFF7981D"/>
      <name val="Inconsolata"/>
    </font>
    <font>
      <sz val="10"/>
      <color rgb="FFFFFFFF"/>
      <name val="Arial"/>
    </font>
    <font>
      <sz val="10"/>
      <color rgb="FFFFFFFF"/>
      <name val="&quot;Yahoo Sans Finance&quot;"/>
    </font>
    <font>
      <sz val="10"/>
      <color rgb="FF232A31"/>
      <name val="Arial"/>
    </font>
    <font>
      <sz val="10"/>
      <color rgb="FF232A31"/>
      <name val="&quot;Yahoo Sans Finance&quot;"/>
    </font>
    <font>
      <sz val="10"/>
      <color rgb="FF232A31"/>
      <name val="Yahoo Sans Finance"/>
    </font>
    <font>
      <sz val="10"/>
      <color theme="0"/>
      <name val="&quot;Yahoo Sans Finance&quot;"/>
    </font>
    <font>
      <sz val="10"/>
      <color rgb="FF232A31"/>
      <name val="Arial"/>
      <scheme val="minor"/>
    </font>
    <font>
      <sz val="10"/>
      <color theme="1"/>
      <name val="&quot;Yahoo Sans Finance&quot;"/>
    </font>
    <font>
      <b/>
      <i/>
      <sz val="14"/>
      <color theme="1"/>
      <name val="Arial"/>
      <scheme val="minor"/>
    </font>
    <font>
      <sz val="10"/>
      <color theme="1"/>
      <name val="Yahoo Sans Finance"/>
    </font>
    <font>
      <sz val="10"/>
      <color theme="0"/>
      <name val="Arial"/>
    </font>
    <font>
      <sz val="10"/>
      <color theme="0"/>
      <name val="Yahoo Sans Finance"/>
    </font>
    <font>
      <sz val="10"/>
      <color rgb="FF000000"/>
      <name val="Yahoo Sans Finance"/>
    </font>
    <font>
      <sz val="10"/>
      <color rgb="FFFFFFFF"/>
      <name val="Yahoo Sans Finance"/>
    </font>
    <font>
      <b/>
      <i/>
      <u/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6AA84F"/>
      <name val="Arial"/>
      <scheme val="minor"/>
    </font>
    <font>
      <b/>
      <i/>
      <sz val="10"/>
      <color theme="1"/>
      <name val="Arial"/>
      <scheme val="minor"/>
    </font>
    <font>
      <b/>
      <i/>
      <sz val="10"/>
      <color theme="1"/>
      <name val="Arial"/>
    </font>
    <font>
      <b/>
      <sz val="12"/>
      <color theme="1"/>
      <name val="Arial"/>
      <scheme val="minor"/>
    </font>
    <font>
      <b/>
      <sz val="12"/>
      <color theme="1"/>
      <name val="Arial"/>
    </font>
    <font>
      <b/>
      <sz val="12"/>
      <color theme="7"/>
      <name val="Arial"/>
      <scheme val="minor"/>
    </font>
    <font>
      <b/>
      <sz val="12"/>
      <color theme="7"/>
      <name val="Arial"/>
    </font>
    <font>
      <b/>
      <sz val="12"/>
      <color rgb="FFFF0000"/>
      <name val="Arial"/>
      <scheme val="minor"/>
    </font>
    <font>
      <b/>
      <sz val="12"/>
      <color rgb="FFFF0000"/>
      <name val="Arial"/>
    </font>
    <font>
      <b/>
      <sz val="10"/>
      <color theme="1"/>
      <name val="Arial"/>
    </font>
    <font>
      <b/>
      <sz val="10"/>
      <color theme="0"/>
      <name val="Arial"/>
      <scheme val="minor"/>
    </font>
    <font>
      <b/>
      <sz val="12"/>
      <color rgb="FF6AA84F"/>
      <name val="Aria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7F6000"/>
        <bgColor rgb="FF7F6000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3" fillId="3" borderId="0" xfId="0" applyNumberFormat="1" applyFon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1" fillId="0" borderId="8" xfId="0" applyFont="1" applyBorder="1"/>
    <xf numFmtId="0" fontId="4" fillId="4" borderId="6" xfId="0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0" fontId="1" fillId="0" borderId="7" xfId="0" applyFont="1" applyBorder="1" applyAlignment="1"/>
    <xf numFmtId="166" fontId="5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9" xfId="0" applyFont="1" applyBorder="1"/>
    <xf numFmtId="0" fontId="2" fillId="0" borderId="4" xfId="0" applyFont="1" applyBorder="1" applyAlignment="1"/>
    <xf numFmtId="0" fontId="4" fillId="4" borderId="10" xfId="0" applyFont="1" applyFill="1" applyBorder="1" applyAlignment="1">
      <alignment horizontal="center"/>
    </xf>
    <xf numFmtId="166" fontId="4" fillId="4" borderId="0" xfId="0" applyNumberFormat="1" applyFont="1" applyFill="1" applyAlignment="1">
      <alignment horizontal="center"/>
    </xf>
    <xf numFmtId="0" fontId="1" fillId="0" borderId="11" xfId="0" applyFont="1" applyBorder="1"/>
    <xf numFmtId="0" fontId="2" fillId="0" borderId="4" xfId="0" applyFont="1" applyBorder="1" applyAlignment="1">
      <alignment horizontal="center"/>
    </xf>
    <xf numFmtId="167" fontId="4" fillId="4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166" fontId="4" fillId="5" borderId="0" xfId="0" applyNumberFormat="1" applyFont="1" applyFill="1" applyAlignment="1">
      <alignment horizontal="center"/>
    </xf>
    <xf numFmtId="0" fontId="6" fillId="6" borderId="10" xfId="0" applyFont="1" applyFill="1" applyBorder="1" applyAlignment="1">
      <alignment horizontal="center"/>
    </xf>
    <xf numFmtId="166" fontId="7" fillId="6" borderId="0" xfId="0" applyNumberFormat="1" applyFont="1" applyFill="1" applyAlignment="1">
      <alignment horizontal="center"/>
    </xf>
    <xf numFmtId="0" fontId="7" fillId="6" borderId="0" xfId="0" applyFont="1" applyFill="1" applyAlignment="1"/>
    <xf numFmtId="2" fontId="7" fillId="6" borderId="0" xfId="0" applyNumberFormat="1" applyFont="1" applyFill="1"/>
    <xf numFmtId="0" fontId="7" fillId="6" borderId="11" xfId="0" applyFont="1" applyFill="1" applyBorder="1" applyAlignment="1"/>
    <xf numFmtId="0" fontId="7" fillId="0" borderId="0" xfId="0" applyFont="1"/>
    <xf numFmtId="0" fontId="1" fillId="7" borderId="10" xfId="0" applyFont="1" applyFill="1" applyBorder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68" fontId="8" fillId="7" borderId="0" xfId="0" applyNumberFormat="1" applyFont="1" applyFill="1" applyAlignment="1">
      <alignment horizontal="center"/>
    </xf>
    <xf numFmtId="168" fontId="9" fillId="0" borderId="0" xfId="0" applyNumberFormat="1" applyFont="1" applyAlignment="1">
      <alignment horizontal="center"/>
    </xf>
    <xf numFmtId="0" fontId="10" fillId="6" borderId="10" xfId="0" applyFont="1" applyFill="1" applyBorder="1" applyAlignment="1">
      <alignment horizontal="center"/>
    </xf>
    <xf numFmtId="169" fontId="7" fillId="6" borderId="0" xfId="0" applyNumberFormat="1" applyFont="1" applyFill="1" applyAlignment="1">
      <alignment horizontal="center"/>
    </xf>
    <xf numFmtId="0" fontId="7" fillId="6" borderId="0" xfId="0" applyFont="1" applyFill="1"/>
    <xf numFmtId="169" fontId="11" fillId="6" borderId="0" xfId="0" applyNumberFormat="1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9" fontId="1" fillId="8" borderId="0" xfId="0" applyNumberFormat="1" applyFont="1" applyFill="1" applyAlignment="1">
      <alignment horizontal="center"/>
    </xf>
    <xf numFmtId="169" fontId="5" fillId="0" borderId="0" xfId="0" applyNumberFormat="1" applyFont="1" applyAlignment="1">
      <alignment horizontal="center"/>
    </xf>
    <xf numFmtId="0" fontId="1" fillId="9" borderId="10" xfId="0" applyFont="1" applyFill="1" applyBorder="1" applyAlignment="1">
      <alignment horizontal="center"/>
    </xf>
    <xf numFmtId="166" fontId="1" fillId="9" borderId="0" xfId="0" applyNumberFormat="1" applyFont="1" applyFill="1" applyAlignment="1">
      <alignment horizontal="center"/>
    </xf>
    <xf numFmtId="166" fontId="11" fillId="6" borderId="0" xfId="0" applyNumberFormat="1" applyFont="1" applyFill="1" applyAlignment="1">
      <alignment horizontal="center"/>
    </xf>
    <xf numFmtId="0" fontId="1" fillId="10" borderId="10" xfId="0" applyFont="1" applyFill="1" applyBorder="1" applyAlignment="1">
      <alignment horizontal="center"/>
    </xf>
    <xf numFmtId="166" fontId="1" fillId="10" borderId="0" xfId="0" applyNumberFormat="1" applyFont="1" applyFill="1" applyAlignment="1">
      <alignment horizontal="center"/>
    </xf>
    <xf numFmtId="0" fontId="1" fillId="11" borderId="10" xfId="0" applyFont="1" applyFill="1" applyBorder="1" applyAlignment="1">
      <alignment horizontal="center"/>
    </xf>
    <xf numFmtId="166" fontId="1" fillId="11" borderId="0" xfId="0" applyNumberFormat="1" applyFont="1" applyFill="1" applyAlignment="1">
      <alignment horizontal="center"/>
    </xf>
    <xf numFmtId="0" fontId="12" fillId="12" borderId="10" xfId="0" applyFont="1" applyFill="1" applyBorder="1" applyAlignment="1">
      <alignment horizontal="center"/>
    </xf>
    <xf numFmtId="166" fontId="12" fillId="12" borderId="0" xfId="0" applyNumberFormat="1" applyFont="1" applyFill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12" fillId="13" borderId="10" xfId="0" applyFont="1" applyFill="1" applyBorder="1" applyAlignment="1">
      <alignment horizontal="center"/>
    </xf>
    <xf numFmtId="166" fontId="12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166" fontId="1" fillId="14" borderId="0" xfId="0" applyNumberFormat="1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166" fontId="1" fillId="15" borderId="1" xfId="0" applyNumberFormat="1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2" xfId="0" applyFont="1" applyBorder="1"/>
    <xf numFmtId="0" fontId="2" fillId="0" borderId="9" xfId="0" applyFont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16" borderId="0" xfId="0" applyFont="1" applyFill="1"/>
    <xf numFmtId="0" fontId="13" fillId="3" borderId="10" xfId="0" applyFont="1" applyFill="1" applyBorder="1" applyAlignment="1">
      <alignment horizontal="center"/>
    </xf>
    <xf numFmtId="0" fontId="13" fillId="16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5" fillId="3" borderId="0" xfId="0" applyFont="1" applyFill="1"/>
    <xf numFmtId="165" fontId="2" fillId="0" borderId="2" xfId="0" applyNumberFormat="1" applyFont="1" applyBorder="1" applyAlignment="1"/>
    <xf numFmtId="0" fontId="2" fillId="0" borderId="3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5" fontId="4" fillId="4" borderId="6" xfId="0" applyNumberFormat="1" applyFont="1" applyFill="1" applyBorder="1" applyAlignment="1">
      <alignment horizontal="center"/>
    </xf>
    <xf numFmtId="10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4" fontId="4" fillId="4" borderId="7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4" fontId="4" fillId="4" borderId="0" xfId="0" applyNumberFormat="1" applyFont="1" applyFill="1" applyAlignment="1">
      <alignment horizontal="center"/>
    </xf>
    <xf numFmtId="166" fontId="4" fillId="4" borderId="8" xfId="0" applyNumberFormat="1" applyFont="1" applyFill="1" applyBorder="1" applyAlignment="1">
      <alignment horizontal="center"/>
    </xf>
    <xf numFmtId="0" fontId="16" fillId="4" borderId="0" xfId="0" applyFont="1" applyFill="1" applyAlignment="1"/>
    <xf numFmtId="0" fontId="4" fillId="4" borderId="8" xfId="0" applyFont="1" applyFill="1" applyBorder="1" applyAlignment="1"/>
    <xf numFmtId="0" fontId="4" fillId="0" borderId="0" xfId="0" applyFont="1"/>
    <xf numFmtId="0" fontId="4" fillId="4" borderId="0" xfId="0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0" fontId="17" fillId="4" borderId="0" xfId="0" applyFont="1" applyFill="1" applyAlignment="1"/>
    <xf numFmtId="0" fontId="16" fillId="4" borderId="8" xfId="0" applyFont="1" applyFill="1" applyBorder="1" applyAlignment="1"/>
    <xf numFmtId="167" fontId="4" fillId="4" borderId="0" xfId="0" applyNumberFormat="1" applyFont="1" applyFill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166" fontId="4" fillId="5" borderId="0" xfId="0" applyNumberFormat="1" applyFont="1" applyFill="1" applyAlignment="1">
      <alignment horizontal="center"/>
    </xf>
    <xf numFmtId="166" fontId="4" fillId="5" borderId="8" xfId="0" applyNumberFormat="1" applyFont="1" applyFill="1" applyBorder="1" applyAlignment="1">
      <alignment horizontal="center"/>
    </xf>
    <xf numFmtId="0" fontId="16" fillId="5" borderId="0" xfId="0" applyFont="1" applyFill="1" applyAlignment="1"/>
    <xf numFmtId="0" fontId="4" fillId="5" borderId="8" xfId="0" applyFont="1" applyFill="1" applyBorder="1" applyAlignment="1"/>
    <xf numFmtId="0" fontId="17" fillId="5" borderId="0" xfId="0" applyFont="1" applyFill="1" applyAlignment="1"/>
    <xf numFmtId="0" fontId="4" fillId="5" borderId="8" xfId="0" applyFont="1" applyFill="1" applyBorder="1" applyAlignment="1">
      <alignment horizontal="right"/>
    </xf>
    <xf numFmtId="0" fontId="4" fillId="0" borderId="0" xfId="0" applyFont="1" applyAlignment="1"/>
    <xf numFmtId="165" fontId="1" fillId="7" borderId="10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4" fontId="1" fillId="7" borderId="0" xfId="0" applyNumberFormat="1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6" fontId="1" fillId="7" borderId="8" xfId="0" applyNumberFormat="1" applyFont="1" applyFill="1" applyBorder="1" applyAlignment="1">
      <alignment horizontal="center"/>
    </xf>
    <xf numFmtId="0" fontId="18" fillId="7" borderId="0" xfId="0" applyFont="1" applyFill="1" applyAlignment="1"/>
    <xf numFmtId="0" fontId="1" fillId="7" borderId="8" xfId="0" applyFont="1" applyFill="1" applyBorder="1" applyAlignment="1"/>
    <xf numFmtId="0" fontId="19" fillId="7" borderId="0" xfId="0" applyFont="1" applyFill="1" applyAlignment="1"/>
    <xf numFmtId="0" fontId="8" fillId="0" borderId="8" xfId="0" applyFont="1" applyBorder="1" applyAlignment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0" fontId="20" fillId="7" borderId="0" xfId="0" applyFont="1" applyFill="1" applyAlignment="1"/>
    <xf numFmtId="0" fontId="8" fillId="7" borderId="8" xfId="0" applyFont="1" applyFill="1" applyBorder="1" applyAlignment="1"/>
    <xf numFmtId="0" fontId="8" fillId="0" borderId="0" xfId="0" applyFont="1" applyAlignment="1"/>
    <xf numFmtId="169" fontId="1" fillId="7" borderId="0" xfId="0" applyNumberFormat="1" applyFont="1" applyFill="1" applyAlignment="1">
      <alignment horizontal="center"/>
    </xf>
    <xf numFmtId="170" fontId="1" fillId="7" borderId="0" xfId="0" applyNumberFormat="1" applyFont="1" applyFill="1" applyAlignment="1">
      <alignment horizontal="center"/>
    </xf>
    <xf numFmtId="170" fontId="1" fillId="7" borderId="0" xfId="0" applyNumberFormat="1" applyFont="1" applyFill="1" applyAlignment="1">
      <alignment horizontal="center"/>
    </xf>
    <xf numFmtId="170" fontId="1" fillId="7" borderId="8" xfId="0" applyNumberFormat="1" applyFont="1" applyFill="1" applyBorder="1" applyAlignment="1">
      <alignment horizontal="center"/>
    </xf>
    <xf numFmtId="165" fontId="5" fillId="8" borderId="10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4" fontId="1" fillId="8" borderId="0" xfId="0" applyNumberFormat="1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6" fontId="1" fillId="8" borderId="8" xfId="0" applyNumberFormat="1" applyFont="1" applyFill="1" applyBorder="1" applyAlignment="1">
      <alignment horizontal="center"/>
    </xf>
    <xf numFmtId="0" fontId="18" fillId="8" borderId="0" xfId="0" applyFont="1" applyFill="1" applyAlignment="1"/>
    <xf numFmtId="0" fontId="1" fillId="8" borderId="8" xfId="0" applyFont="1" applyFill="1" applyBorder="1" applyAlignment="1"/>
    <xf numFmtId="170" fontId="1" fillId="8" borderId="0" xfId="0" applyNumberFormat="1" applyFont="1" applyFill="1" applyAlignment="1">
      <alignment horizontal="center"/>
    </xf>
    <xf numFmtId="170" fontId="1" fillId="8" borderId="8" xfId="0" applyNumberFormat="1" applyFont="1" applyFill="1" applyBorder="1" applyAlignment="1">
      <alignment horizontal="center"/>
    </xf>
    <xf numFmtId="0" fontId="19" fillId="8" borderId="0" xfId="0" applyFont="1" applyFill="1" applyAlignment="1"/>
    <xf numFmtId="165" fontId="5" fillId="9" borderId="10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4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166" fontId="1" fillId="9" borderId="8" xfId="0" applyNumberFormat="1" applyFont="1" applyFill="1" applyBorder="1" applyAlignment="1">
      <alignment horizontal="center"/>
    </xf>
    <xf numFmtId="0" fontId="18" fillId="9" borderId="0" xfId="0" applyFont="1" applyFill="1" applyAlignment="1"/>
    <xf numFmtId="0" fontId="1" fillId="9" borderId="8" xfId="0" applyFont="1" applyFill="1" applyBorder="1" applyAlignment="1"/>
    <xf numFmtId="0" fontId="19" fillId="9" borderId="0" xfId="0" applyFont="1" applyFill="1" applyAlignment="1"/>
    <xf numFmtId="165" fontId="5" fillId="10" borderId="10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4" fontId="1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166" fontId="1" fillId="10" borderId="8" xfId="0" applyNumberFormat="1" applyFont="1" applyFill="1" applyBorder="1" applyAlignment="1">
      <alignment horizontal="center"/>
    </xf>
    <xf numFmtId="0" fontId="18" fillId="10" borderId="0" xfId="0" applyFont="1" applyFill="1" applyAlignment="1"/>
    <xf numFmtId="0" fontId="1" fillId="10" borderId="8" xfId="0" applyFont="1" applyFill="1" applyBorder="1" applyAlignment="1"/>
    <xf numFmtId="0" fontId="19" fillId="10" borderId="0" xfId="0" applyFont="1" applyFill="1" applyAlignment="1"/>
    <xf numFmtId="165" fontId="5" fillId="11" borderId="10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4" fontId="1" fillId="11" borderId="0" xfId="0" applyNumberFormat="1" applyFont="1" applyFill="1" applyAlignment="1">
      <alignment horizontal="center"/>
    </xf>
    <xf numFmtId="166" fontId="5" fillId="11" borderId="0" xfId="0" applyNumberFormat="1" applyFont="1" applyFill="1" applyAlignment="1">
      <alignment horizontal="center"/>
    </xf>
    <xf numFmtId="166" fontId="1" fillId="11" borderId="8" xfId="0" applyNumberFormat="1" applyFont="1" applyFill="1" applyBorder="1" applyAlignment="1">
      <alignment horizontal="center"/>
    </xf>
    <xf numFmtId="0" fontId="18" fillId="11" borderId="0" xfId="0" applyFont="1" applyFill="1" applyAlignment="1"/>
    <xf numFmtId="0" fontId="1" fillId="11" borderId="8" xfId="0" applyFont="1" applyFill="1" applyBorder="1" applyAlignment="1"/>
    <xf numFmtId="0" fontId="19" fillId="11" borderId="0" xfId="0" applyFont="1" applyFill="1" applyAlignment="1"/>
    <xf numFmtId="165" fontId="4" fillId="12" borderId="10" xfId="0" applyNumberFormat="1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4" fontId="12" fillId="12" borderId="0" xfId="0" applyNumberFormat="1" applyFont="1" applyFill="1" applyAlignment="1">
      <alignment horizontal="center"/>
    </xf>
    <xf numFmtId="166" fontId="4" fillId="12" borderId="0" xfId="0" applyNumberFormat="1" applyFont="1" applyFill="1" applyAlignment="1">
      <alignment horizontal="center"/>
    </xf>
    <xf numFmtId="4" fontId="4" fillId="12" borderId="0" xfId="0" applyNumberFormat="1" applyFont="1" applyFill="1" applyAlignment="1">
      <alignment horizontal="center"/>
    </xf>
    <xf numFmtId="166" fontId="4" fillId="12" borderId="0" xfId="0" applyNumberFormat="1" applyFont="1" applyFill="1" applyAlignment="1">
      <alignment horizontal="center"/>
    </xf>
    <xf numFmtId="166" fontId="12" fillId="12" borderId="8" xfId="0" applyNumberFormat="1" applyFont="1" applyFill="1" applyBorder="1" applyAlignment="1">
      <alignment horizontal="center"/>
    </xf>
    <xf numFmtId="166" fontId="4" fillId="12" borderId="8" xfId="0" applyNumberFormat="1" applyFont="1" applyFill="1" applyBorder="1" applyAlignment="1">
      <alignment horizontal="left"/>
    </xf>
    <xf numFmtId="0" fontId="4" fillId="12" borderId="8" xfId="0" applyFont="1" applyFill="1" applyBorder="1" applyAlignment="1"/>
    <xf numFmtId="166" fontId="12" fillId="12" borderId="8" xfId="0" applyNumberFormat="1" applyFont="1" applyFill="1" applyBorder="1" applyAlignment="1">
      <alignment horizontal="left"/>
    </xf>
    <xf numFmtId="165" fontId="4" fillId="13" borderId="10" xfId="0" applyNumberFormat="1" applyFont="1" applyFill="1" applyBorder="1" applyAlignment="1">
      <alignment horizontal="center"/>
    </xf>
    <xf numFmtId="4" fontId="12" fillId="13" borderId="0" xfId="0" applyNumberFormat="1" applyFont="1" applyFill="1" applyAlignment="1">
      <alignment horizontal="center"/>
    </xf>
    <xf numFmtId="166" fontId="4" fillId="13" borderId="0" xfId="0" applyNumberFormat="1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166" fontId="4" fillId="13" borderId="0" xfId="0" applyNumberFormat="1" applyFont="1" applyFill="1" applyAlignment="1">
      <alignment horizontal="center"/>
    </xf>
    <xf numFmtId="166" fontId="12" fillId="13" borderId="8" xfId="0" applyNumberFormat="1" applyFont="1" applyFill="1" applyBorder="1" applyAlignment="1">
      <alignment horizontal="center"/>
    </xf>
    <xf numFmtId="166" fontId="16" fillId="13" borderId="0" xfId="0" applyNumberFormat="1" applyFont="1" applyFill="1" applyAlignment="1"/>
    <xf numFmtId="0" fontId="12" fillId="13" borderId="8" xfId="0" applyFont="1" applyFill="1" applyBorder="1" applyAlignment="1"/>
    <xf numFmtId="166" fontId="21" fillId="13" borderId="0" xfId="0" applyNumberFormat="1" applyFont="1" applyFill="1" applyAlignment="1"/>
    <xf numFmtId="0" fontId="4" fillId="13" borderId="0" xfId="0" applyFont="1" applyFill="1" applyAlignment="1"/>
    <xf numFmtId="165" fontId="5" fillId="14" borderId="10" xfId="0" applyNumberFormat="1" applyFont="1" applyFill="1" applyBorder="1" applyAlignment="1">
      <alignment horizontal="center"/>
    </xf>
    <xf numFmtId="4" fontId="1" fillId="14" borderId="0" xfId="0" applyNumberFormat="1" applyFont="1" applyFill="1" applyAlignment="1">
      <alignment horizontal="center"/>
    </xf>
    <xf numFmtId="166" fontId="22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center"/>
    </xf>
    <xf numFmtId="166" fontId="8" fillId="14" borderId="0" xfId="0" applyNumberFormat="1" applyFont="1" applyFill="1" applyAlignment="1">
      <alignment horizontal="center"/>
    </xf>
    <xf numFmtId="166" fontId="8" fillId="14" borderId="8" xfId="0" applyNumberFormat="1" applyFont="1" applyFill="1" applyBorder="1" applyAlignment="1">
      <alignment horizontal="center"/>
    </xf>
    <xf numFmtId="166" fontId="8" fillId="14" borderId="0" xfId="0" applyNumberFormat="1" applyFont="1" applyFill="1" applyAlignment="1"/>
    <xf numFmtId="0" fontId="8" fillId="14" borderId="0" xfId="0" applyFont="1" applyFill="1" applyAlignment="1">
      <alignment horizontal="right"/>
    </xf>
    <xf numFmtId="0" fontId="8" fillId="0" borderId="0" xfId="0" applyFont="1" applyAlignment="1"/>
    <xf numFmtId="166" fontId="23" fillId="14" borderId="0" xfId="0" applyNumberFormat="1" applyFont="1" applyFill="1" applyAlignment="1"/>
    <xf numFmtId="165" fontId="5" fillId="15" borderId="10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166" fontId="1" fillId="15" borderId="0" xfId="0" applyNumberFormat="1" applyFont="1" applyFill="1" applyAlignment="1">
      <alignment horizontal="center"/>
    </xf>
    <xf numFmtId="4" fontId="1" fillId="15" borderId="0" xfId="0" applyNumberFormat="1" applyFont="1" applyFill="1" applyAlignment="1">
      <alignment horizontal="center"/>
    </xf>
    <xf numFmtId="166" fontId="8" fillId="15" borderId="0" xfId="0" applyNumberFormat="1" applyFont="1" applyFill="1" applyAlignment="1">
      <alignment horizontal="center"/>
    </xf>
    <xf numFmtId="4" fontId="22" fillId="15" borderId="0" xfId="0" applyNumberFormat="1" applyFont="1" applyFill="1" applyAlignment="1">
      <alignment horizontal="center"/>
    </xf>
    <xf numFmtId="166" fontId="8" fillId="15" borderId="8" xfId="0" applyNumberFormat="1" applyFont="1" applyFill="1" applyBorder="1" applyAlignment="1">
      <alignment horizontal="center"/>
    </xf>
    <xf numFmtId="166" fontId="18" fillId="15" borderId="0" xfId="0" applyNumberFormat="1" applyFont="1" applyFill="1" applyAlignment="1"/>
    <xf numFmtId="166" fontId="19" fillId="15" borderId="0" xfId="0" applyNumberFormat="1" applyFont="1" applyFill="1" applyAlignment="1"/>
    <xf numFmtId="0" fontId="8" fillId="15" borderId="0" xfId="0" applyFont="1" applyFill="1" applyAlignment="1">
      <alignment horizontal="right"/>
    </xf>
    <xf numFmtId="4" fontId="2" fillId="3" borderId="3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9" fontId="1" fillId="8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24" fillId="0" borderId="5" xfId="0" applyFont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2" fontId="2" fillId="0" borderId="0" xfId="0" applyNumberFormat="1" applyFont="1" applyAlignment="1"/>
    <xf numFmtId="0" fontId="24" fillId="0" borderId="5" xfId="0" applyFont="1" applyBorder="1" applyAlignment="1"/>
    <xf numFmtId="0" fontId="2" fillId="0" borderId="2" xfId="0" applyFont="1" applyBorder="1" applyAlignment="1"/>
    <xf numFmtId="49" fontId="2" fillId="0" borderId="3" xfId="0" applyNumberFormat="1" applyFont="1" applyBorder="1" applyAlignment="1">
      <alignment horizontal="center"/>
    </xf>
    <xf numFmtId="0" fontId="8" fillId="23" borderId="0" xfId="0" applyFont="1" applyFill="1" applyAlignment="1"/>
    <xf numFmtId="0" fontId="8" fillId="10" borderId="0" xfId="0" applyFont="1" applyFill="1" applyAlignment="1">
      <alignment horizontal="center"/>
    </xf>
    <xf numFmtId="166" fontId="8" fillId="10" borderId="0" xfId="0" applyNumberFormat="1" applyFont="1" applyFill="1" applyAlignment="1">
      <alignment horizontal="center"/>
    </xf>
    <xf numFmtId="49" fontId="8" fillId="10" borderId="0" xfId="0" applyNumberFormat="1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4" fontId="8" fillId="10" borderId="0" xfId="0" applyNumberFormat="1" applyFont="1" applyFill="1" applyAlignment="1">
      <alignment horizontal="center"/>
    </xf>
    <xf numFmtId="165" fontId="8" fillId="10" borderId="8" xfId="0" applyNumberFormat="1" applyFont="1" applyFill="1" applyBorder="1" applyAlignment="1">
      <alignment horizontal="center"/>
    </xf>
    <xf numFmtId="165" fontId="8" fillId="10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center"/>
    </xf>
    <xf numFmtId="0" fontId="25" fillId="10" borderId="8" xfId="0" applyFont="1" applyFill="1" applyBorder="1" applyAlignment="1"/>
    <xf numFmtId="0" fontId="8" fillId="10" borderId="8" xfId="0" applyFont="1" applyFill="1" applyBorder="1" applyAlignment="1">
      <alignment horizontal="right"/>
    </xf>
    <xf numFmtId="10" fontId="1" fillId="0" borderId="0" xfId="0" applyNumberFormat="1" applyFont="1" applyAlignment="1"/>
    <xf numFmtId="0" fontId="26" fillId="4" borderId="0" xfId="0" applyFont="1" applyFill="1" applyAlignment="1">
      <alignment horizontal="center"/>
    </xf>
    <xf numFmtId="166" fontId="26" fillId="4" borderId="0" xfId="0" applyNumberFormat="1" applyFont="1" applyFill="1" applyAlignment="1">
      <alignment horizontal="center"/>
    </xf>
    <xf numFmtId="49" fontId="26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4" fontId="26" fillId="4" borderId="0" xfId="0" applyNumberFormat="1" applyFont="1" applyFill="1" applyAlignment="1">
      <alignment horizontal="center"/>
    </xf>
    <xf numFmtId="165" fontId="26" fillId="4" borderId="8" xfId="0" applyNumberFormat="1" applyFont="1" applyFill="1" applyBorder="1" applyAlignment="1">
      <alignment horizontal="center"/>
    </xf>
    <xf numFmtId="165" fontId="26" fillId="4" borderId="0" xfId="0" applyNumberFormat="1" applyFont="1" applyFill="1" applyAlignment="1">
      <alignment horizontal="center"/>
    </xf>
    <xf numFmtId="10" fontId="26" fillId="4" borderId="0" xfId="0" applyNumberFormat="1" applyFont="1" applyFill="1" applyAlignment="1">
      <alignment horizontal="center"/>
    </xf>
    <xf numFmtId="0" fontId="27" fillId="4" borderId="8" xfId="0" applyFont="1" applyFill="1" applyBorder="1" applyAlignment="1"/>
    <xf numFmtId="0" fontId="26" fillId="4" borderId="8" xfId="0" applyFont="1" applyFill="1" applyBorder="1" applyAlignment="1">
      <alignment horizontal="right"/>
    </xf>
    <xf numFmtId="0" fontId="26" fillId="5" borderId="0" xfId="0" applyFont="1" applyFill="1" applyAlignment="1">
      <alignment horizontal="center"/>
    </xf>
    <xf numFmtId="166" fontId="26" fillId="5" borderId="0" xfId="0" applyNumberFormat="1" applyFont="1" applyFill="1" applyAlignment="1">
      <alignment horizontal="center"/>
    </xf>
    <xf numFmtId="49" fontId="2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4" fontId="26" fillId="5" borderId="0" xfId="0" applyNumberFormat="1" applyFont="1" applyFill="1" applyAlignment="1">
      <alignment horizontal="center"/>
    </xf>
    <xf numFmtId="165" fontId="26" fillId="5" borderId="8" xfId="0" applyNumberFormat="1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10" fontId="26" fillId="5" borderId="0" xfId="0" applyNumberFormat="1" applyFont="1" applyFill="1" applyAlignment="1">
      <alignment horizontal="center"/>
    </xf>
    <xf numFmtId="0" fontId="27" fillId="5" borderId="8" xfId="0" applyFont="1" applyFill="1" applyBorder="1" applyAlignment="1"/>
    <xf numFmtId="0" fontId="26" fillId="5" borderId="8" xfId="0" applyFont="1" applyFill="1" applyBorder="1" applyAlignment="1">
      <alignment horizontal="right"/>
    </xf>
    <xf numFmtId="0" fontId="9" fillId="7" borderId="0" xfId="0" applyFont="1" applyFill="1" applyAlignment="1">
      <alignment horizontal="center"/>
    </xf>
    <xf numFmtId="166" fontId="9" fillId="7" borderId="0" xfId="0" applyNumberFormat="1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" fontId="9" fillId="7" borderId="0" xfId="0" applyNumberFormat="1" applyFont="1" applyFill="1" applyAlignment="1">
      <alignment horizontal="center"/>
    </xf>
    <xf numFmtId="165" fontId="9" fillId="7" borderId="8" xfId="0" applyNumberFormat="1" applyFont="1" applyFill="1" applyBorder="1" applyAlignment="1">
      <alignment horizontal="center"/>
    </xf>
    <xf numFmtId="165" fontId="9" fillId="7" borderId="0" xfId="0" applyNumberFormat="1" applyFont="1" applyFill="1" applyAlignment="1">
      <alignment horizontal="center"/>
    </xf>
    <xf numFmtId="10" fontId="9" fillId="7" borderId="0" xfId="0" applyNumberFormat="1" applyFont="1" applyFill="1" applyAlignment="1">
      <alignment horizontal="center"/>
    </xf>
    <xf numFmtId="0" fontId="28" fillId="7" borderId="8" xfId="0" applyFont="1" applyFill="1" applyBorder="1" applyAlignment="1"/>
    <xf numFmtId="0" fontId="9" fillId="7" borderId="8" xfId="0" applyFont="1" applyFill="1" applyBorder="1" applyAlignment="1">
      <alignment horizontal="right"/>
    </xf>
    <xf numFmtId="0" fontId="9" fillId="10" borderId="0" xfId="0" applyFont="1" applyFill="1" applyAlignment="1">
      <alignment horizontal="center"/>
    </xf>
    <xf numFmtId="166" fontId="9" fillId="10" borderId="0" xfId="0" applyNumberFormat="1" applyFont="1" applyFill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4" fontId="9" fillId="10" borderId="0" xfId="0" applyNumberFormat="1" applyFont="1" applyFill="1" applyAlignment="1">
      <alignment horizontal="center"/>
    </xf>
    <xf numFmtId="165" fontId="9" fillId="10" borderId="8" xfId="0" applyNumberFormat="1" applyFont="1" applyFill="1" applyBorder="1" applyAlignment="1">
      <alignment horizontal="center"/>
    </xf>
    <xf numFmtId="165" fontId="9" fillId="10" borderId="0" xfId="0" applyNumberFormat="1" applyFont="1" applyFill="1" applyAlignment="1">
      <alignment horizontal="center"/>
    </xf>
    <xf numFmtId="0" fontId="28" fillId="10" borderId="8" xfId="0" applyFont="1" applyFill="1" applyBorder="1" applyAlignment="1"/>
    <xf numFmtId="0" fontId="9" fillId="10" borderId="8" xfId="0" applyFont="1" applyFill="1" applyBorder="1" applyAlignment="1">
      <alignment horizontal="right"/>
    </xf>
    <xf numFmtId="165" fontId="8" fillId="10" borderId="8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166" fontId="16" fillId="5" borderId="0" xfId="0" applyNumberFormat="1" applyFont="1" applyFill="1" applyAlignment="1">
      <alignment horizontal="center"/>
    </xf>
    <xf numFmtId="49" fontId="16" fillId="5" borderId="0" xfId="0" applyNumberFormat="1" applyFont="1" applyFill="1" applyAlignment="1">
      <alignment horizontal="center"/>
    </xf>
    <xf numFmtId="4" fontId="16" fillId="5" borderId="0" xfId="0" applyNumberFormat="1" applyFont="1" applyFill="1" applyAlignment="1">
      <alignment horizontal="center"/>
    </xf>
    <xf numFmtId="165" fontId="16" fillId="5" borderId="8" xfId="0" applyNumberFormat="1" applyFont="1" applyFill="1" applyBorder="1" applyAlignment="1">
      <alignment horizontal="center"/>
    </xf>
    <xf numFmtId="165" fontId="16" fillId="5" borderId="0" xfId="0" applyNumberFormat="1" applyFont="1" applyFill="1" applyAlignment="1">
      <alignment horizontal="center"/>
    </xf>
    <xf numFmtId="0" fontId="29" fillId="5" borderId="8" xfId="0" applyFont="1" applyFill="1" applyBorder="1" applyAlignment="1"/>
    <xf numFmtId="0" fontId="16" fillId="5" borderId="8" xfId="0" applyFont="1" applyFill="1" applyBorder="1" applyAlignment="1">
      <alignment horizontal="right"/>
    </xf>
    <xf numFmtId="0" fontId="8" fillId="8" borderId="0" xfId="0" applyFont="1" applyFill="1" applyAlignment="1">
      <alignment horizontal="center"/>
    </xf>
    <xf numFmtId="166" fontId="8" fillId="8" borderId="0" xfId="0" applyNumberFormat="1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4" fontId="8" fillId="8" borderId="0" xfId="0" applyNumberFormat="1" applyFont="1" applyFill="1" applyAlignment="1">
      <alignment horizontal="center"/>
    </xf>
    <xf numFmtId="165" fontId="8" fillId="8" borderId="8" xfId="0" applyNumberFormat="1" applyFont="1" applyFill="1" applyBorder="1" applyAlignment="1">
      <alignment horizontal="center"/>
    </xf>
    <xf numFmtId="165" fontId="8" fillId="8" borderId="0" xfId="0" applyNumberFormat="1" applyFont="1" applyFill="1" applyAlignment="1">
      <alignment horizontal="center"/>
    </xf>
    <xf numFmtId="10" fontId="9" fillId="8" borderId="0" xfId="0" applyNumberFormat="1" applyFont="1" applyFill="1" applyAlignment="1">
      <alignment horizontal="center"/>
    </xf>
    <xf numFmtId="0" fontId="25" fillId="8" borderId="8" xfId="0" applyFont="1" applyFill="1" applyBorder="1" applyAlignment="1"/>
    <xf numFmtId="0" fontId="8" fillId="8" borderId="8" xfId="0" applyFont="1" applyFill="1" applyBorder="1" applyAlignment="1">
      <alignment horizontal="right"/>
    </xf>
    <xf numFmtId="0" fontId="9" fillId="8" borderId="0" xfId="0" applyFont="1" applyFill="1" applyAlignment="1">
      <alignment horizontal="center"/>
    </xf>
    <xf numFmtId="166" fontId="9" fillId="8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4" fontId="9" fillId="8" borderId="0" xfId="0" applyNumberFormat="1" applyFont="1" applyFill="1" applyAlignment="1">
      <alignment horizontal="center"/>
    </xf>
    <xf numFmtId="165" fontId="9" fillId="8" borderId="0" xfId="0" applyNumberFormat="1" applyFont="1" applyFill="1" applyAlignment="1">
      <alignment horizontal="center"/>
    </xf>
    <xf numFmtId="0" fontId="28" fillId="8" borderId="8" xfId="0" applyFont="1" applyFill="1" applyBorder="1" applyAlignment="1"/>
    <xf numFmtId="0" fontId="9" fillId="8" borderId="8" xfId="0" applyFont="1" applyFill="1" applyBorder="1" applyAlignment="1">
      <alignment horizontal="right"/>
    </xf>
    <xf numFmtId="0" fontId="16" fillId="4" borderId="0" xfId="0" applyFont="1" applyFill="1" applyAlignment="1">
      <alignment horizontal="center"/>
    </xf>
    <xf numFmtId="166" fontId="16" fillId="4" borderId="0" xfId="0" applyNumberFormat="1" applyFont="1" applyFill="1" applyAlignment="1">
      <alignment horizontal="center"/>
    </xf>
    <xf numFmtId="49" fontId="16" fillId="4" borderId="0" xfId="0" applyNumberFormat="1" applyFont="1" applyFill="1" applyAlignment="1">
      <alignment horizontal="center"/>
    </xf>
    <xf numFmtId="4" fontId="16" fillId="4" borderId="0" xfId="0" applyNumberFormat="1" applyFont="1" applyFill="1" applyAlignment="1">
      <alignment horizontal="center"/>
    </xf>
    <xf numFmtId="165" fontId="16" fillId="4" borderId="8" xfId="0" applyNumberFormat="1" applyFont="1" applyFill="1" applyBorder="1" applyAlignment="1">
      <alignment horizontal="center"/>
    </xf>
    <xf numFmtId="165" fontId="16" fillId="4" borderId="0" xfId="0" applyNumberFormat="1" applyFont="1" applyFill="1" applyAlignment="1">
      <alignment horizontal="center"/>
    </xf>
    <xf numFmtId="10" fontId="16" fillId="4" borderId="0" xfId="0" applyNumberFormat="1" applyFont="1" applyFill="1" applyAlignment="1">
      <alignment horizontal="center"/>
    </xf>
    <xf numFmtId="0" fontId="29" fillId="4" borderId="8" xfId="0" applyFont="1" applyFill="1" applyBorder="1" applyAlignment="1"/>
    <xf numFmtId="0" fontId="16" fillId="4" borderId="8" xfId="0" applyFont="1" applyFill="1" applyBorder="1" applyAlignment="1">
      <alignment horizontal="right"/>
    </xf>
    <xf numFmtId="0" fontId="8" fillId="11" borderId="0" xfId="0" applyFont="1" applyFill="1" applyAlignment="1">
      <alignment horizontal="center"/>
    </xf>
    <xf numFmtId="166" fontId="8" fillId="11" borderId="0" xfId="0" applyNumberFormat="1" applyFont="1" applyFill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4" fontId="8" fillId="11" borderId="0" xfId="0" applyNumberFormat="1" applyFont="1" applyFill="1" applyAlignment="1">
      <alignment horizontal="center"/>
    </xf>
    <xf numFmtId="165" fontId="8" fillId="11" borderId="8" xfId="0" applyNumberFormat="1" applyFont="1" applyFill="1" applyBorder="1" applyAlignment="1">
      <alignment horizontal="center"/>
    </xf>
    <xf numFmtId="165" fontId="8" fillId="11" borderId="0" xfId="0" applyNumberFormat="1" applyFont="1" applyFill="1" applyAlignment="1">
      <alignment horizontal="center"/>
    </xf>
    <xf numFmtId="10" fontId="9" fillId="11" borderId="0" xfId="0" applyNumberFormat="1" applyFont="1" applyFill="1" applyAlignment="1">
      <alignment horizontal="center"/>
    </xf>
    <xf numFmtId="0" fontId="25" fillId="11" borderId="8" xfId="0" applyFont="1" applyFill="1" applyBorder="1" applyAlignment="1"/>
    <xf numFmtId="0" fontId="8" fillId="11" borderId="8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25" fillId="0" borderId="0" xfId="0" applyFont="1" applyAlignment="1"/>
    <xf numFmtId="0" fontId="8" fillId="0" borderId="0" xfId="0" applyFont="1" applyAlignment="1">
      <alignment horizontal="right"/>
    </xf>
    <xf numFmtId="168" fontId="9" fillId="7" borderId="0" xfId="0" applyNumberFormat="1" applyFont="1" applyFill="1" applyAlignment="1">
      <alignment horizontal="center"/>
    </xf>
    <xf numFmtId="168" fontId="9" fillId="7" borderId="0" xfId="0" applyNumberFormat="1" applyFont="1" applyFill="1" applyAlignment="1">
      <alignment horizontal="center"/>
    </xf>
    <xf numFmtId="169" fontId="8" fillId="8" borderId="0" xfId="0" applyNumberFormat="1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170" fontId="9" fillId="8" borderId="0" xfId="0" applyNumberFormat="1" applyFont="1" applyFill="1" applyAlignment="1">
      <alignment horizontal="center"/>
    </xf>
    <xf numFmtId="169" fontId="9" fillId="7" borderId="0" xfId="0" applyNumberFormat="1" applyFont="1" applyFill="1" applyAlignment="1">
      <alignment horizontal="center"/>
    </xf>
    <xf numFmtId="170" fontId="9" fillId="7" borderId="0" xfId="0" applyNumberFormat="1" applyFont="1" applyFill="1" applyAlignment="1">
      <alignment horizontal="center"/>
    </xf>
    <xf numFmtId="170" fontId="9" fillId="7" borderId="0" xfId="0" applyNumberFormat="1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166" fontId="8" fillId="14" borderId="0" xfId="0" applyNumberFormat="1" applyFont="1" applyFill="1" applyAlignment="1">
      <alignment horizontal="center"/>
    </xf>
    <xf numFmtId="49" fontId="8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center"/>
    </xf>
    <xf numFmtId="165" fontId="8" fillId="14" borderId="8" xfId="0" applyNumberFormat="1" applyFont="1" applyFill="1" applyBorder="1" applyAlignment="1">
      <alignment horizontal="center"/>
    </xf>
    <xf numFmtId="165" fontId="8" fillId="14" borderId="0" xfId="0" applyNumberFormat="1" applyFont="1" applyFill="1" applyAlignment="1">
      <alignment horizontal="center"/>
    </xf>
    <xf numFmtId="10" fontId="9" fillId="14" borderId="0" xfId="0" applyNumberFormat="1" applyFont="1" applyFill="1" applyAlignment="1">
      <alignment horizontal="center"/>
    </xf>
    <xf numFmtId="166" fontId="25" fillId="14" borderId="8" xfId="0" applyNumberFormat="1" applyFont="1" applyFill="1" applyBorder="1" applyAlignment="1"/>
    <xf numFmtId="0" fontId="8" fillId="14" borderId="8" xfId="0" applyFont="1" applyFill="1" applyBorder="1" applyAlignment="1">
      <alignment horizontal="right"/>
    </xf>
    <xf numFmtId="0" fontId="9" fillId="14" borderId="0" xfId="0" applyFont="1" applyFill="1" applyAlignment="1">
      <alignment horizontal="center"/>
    </xf>
    <xf numFmtId="166" fontId="9" fillId="14" borderId="0" xfId="0" applyNumberFormat="1" applyFont="1" applyFill="1" applyAlignment="1">
      <alignment horizontal="center"/>
    </xf>
    <xf numFmtId="49" fontId="9" fillId="1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4" fontId="9" fillId="14" borderId="0" xfId="0" applyNumberFormat="1" applyFont="1" applyFill="1" applyAlignment="1">
      <alignment horizontal="center"/>
    </xf>
    <xf numFmtId="165" fontId="9" fillId="14" borderId="0" xfId="0" applyNumberFormat="1" applyFont="1" applyFill="1" applyAlignment="1">
      <alignment horizontal="center"/>
    </xf>
    <xf numFmtId="166" fontId="28" fillId="14" borderId="8" xfId="0" applyNumberFormat="1" applyFont="1" applyFill="1" applyBorder="1" applyAlignment="1"/>
    <xf numFmtId="0" fontId="9" fillId="14" borderId="8" xfId="0" applyFont="1" applyFill="1" applyBorder="1" applyAlignment="1">
      <alignment horizontal="right"/>
    </xf>
    <xf numFmtId="0" fontId="16" fillId="12" borderId="0" xfId="0" applyFont="1" applyFill="1" applyAlignment="1">
      <alignment horizontal="center"/>
    </xf>
    <xf numFmtId="166" fontId="16" fillId="12" borderId="0" xfId="0" applyNumberFormat="1" applyFont="1" applyFill="1" applyAlignment="1">
      <alignment horizontal="center"/>
    </xf>
    <xf numFmtId="49" fontId="16" fillId="12" borderId="0" xfId="0" applyNumberFormat="1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4" fontId="16" fillId="12" borderId="0" xfId="0" applyNumberFormat="1" applyFont="1" applyFill="1" applyAlignment="1">
      <alignment horizontal="center"/>
    </xf>
    <xf numFmtId="165" fontId="16" fillId="12" borderId="8" xfId="0" applyNumberFormat="1" applyFont="1" applyFill="1" applyBorder="1" applyAlignment="1">
      <alignment horizontal="center"/>
    </xf>
    <xf numFmtId="165" fontId="16" fillId="12" borderId="0" xfId="0" applyNumberFormat="1" applyFont="1" applyFill="1" applyAlignment="1">
      <alignment horizontal="center"/>
    </xf>
    <xf numFmtId="10" fontId="26" fillId="12" borderId="0" xfId="0" applyNumberFormat="1" applyFont="1" applyFill="1" applyAlignment="1">
      <alignment horizontal="center"/>
    </xf>
    <xf numFmtId="166" fontId="29" fillId="12" borderId="8" xfId="0" applyNumberFormat="1" applyFont="1" applyFill="1" applyBorder="1" applyAlignment="1"/>
    <xf numFmtId="0" fontId="16" fillId="12" borderId="8" xfId="0" applyFont="1" applyFill="1" applyBorder="1" applyAlignment="1">
      <alignment horizontal="right"/>
    </xf>
    <xf numFmtId="0" fontId="8" fillId="9" borderId="0" xfId="0" applyFont="1" applyFill="1" applyAlignment="1">
      <alignment horizontal="center"/>
    </xf>
    <xf numFmtId="166" fontId="8" fillId="9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4" fontId="8" fillId="9" borderId="0" xfId="0" applyNumberFormat="1" applyFont="1" applyFill="1" applyAlignment="1">
      <alignment horizontal="center"/>
    </xf>
    <xf numFmtId="165" fontId="8" fillId="9" borderId="8" xfId="0" applyNumberFormat="1" applyFont="1" applyFill="1" applyBorder="1" applyAlignment="1">
      <alignment horizontal="center"/>
    </xf>
    <xf numFmtId="165" fontId="8" fillId="9" borderId="0" xfId="0" applyNumberFormat="1" applyFont="1" applyFill="1" applyAlignment="1">
      <alignment horizontal="center"/>
    </xf>
    <xf numFmtId="10" fontId="9" fillId="9" borderId="0" xfId="0" applyNumberFormat="1" applyFont="1" applyFill="1" applyAlignment="1">
      <alignment horizontal="center"/>
    </xf>
    <xf numFmtId="0" fontId="25" fillId="9" borderId="8" xfId="0" applyFont="1" applyFill="1" applyBorder="1" applyAlignment="1"/>
    <xf numFmtId="0" fontId="8" fillId="9" borderId="8" xfId="0" applyFont="1" applyFill="1" applyBorder="1" applyAlignment="1">
      <alignment horizontal="right"/>
    </xf>
    <xf numFmtId="0" fontId="30" fillId="0" borderId="5" xfId="0" applyFont="1" applyBorder="1" applyAlignment="1">
      <alignment horizontal="center"/>
    </xf>
    <xf numFmtId="165" fontId="31" fillId="0" borderId="0" xfId="0" applyNumberFormat="1" applyFont="1"/>
    <xf numFmtId="165" fontId="32" fillId="0" borderId="0" xfId="0" applyNumberFormat="1" applyFont="1"/>
    <xf numFmtId="0" fontId="1" fillId="0" borderId="0" xfId="0" applyFont="1"/>
    <xf numFmtId="0" fontId="33" fillId="0" borderId="5" xfId="0" applyFont="1" applyBorder="1" applyAlignment="1"/>
    <xf numFmtId="0" fontId="1" fillId="0" borderId="7" xfId="0" applyFont="1" applyBorder="1"/>
    <xf numFmtId="0" fontId="1" fillId="0" borderId="14" xfId="0" applyFont="1" applyBorder="1"/>
    <xf numFmtId="0" fontId="34" fillId="0" borderId="5" xfId="0" applyFont="1" applyBorder="1" applyAlignment="1"/>
    <xf numFmtId="0" fontId="8" fillId="0" borderId="3" xfId="0" applyFont="1" applyBorder="1" applyAlignment="1"/>
    <xf numFmtId="0" fontId="8" fillId="0" borderId="3" xfId="0" applyFont="1" applyBorder="1" applyAlignment="1"/>
    <xf numFmtId="0" fontId="8" fillId="0" borderId="1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8" fillId="0" borderId="12" xfId="0" applyFont="1" applyBorder="1" applyAlignment="1"/>
    <xf numFmtId="0" fontId="8" fillId="0" borderId="15" xfId="0" applyFont="1" applyBorder="1" applyAlignment="1"/>
    <xf numFmtId="0" fontId="8" fillId="0" borderId="15" xfId="0" applyFont="1" applyBorder="1" applyAlignment="1">
      <alignment horizontal="center"/>
    </xf>
    <xf numFmtId="0" fontId="1" fillId="0" borderId="5" xfId="0" applyFont="1" applyBorder="1"/>
    <xf numFmtId="165" fontId="1" fillId="0" borderId="5" xfId="0" applyNumberFormat="1" applyFont="1" applyBorder="1"/>
    <xf numFmtId="165" fontId="1" fillId="0" borderId="5" xfId="0" applyNumberFormat="1" applyFont="1" applyBorder="1" applyAlignment="1"/>
    <xf numFmtId="165" fontId="8" fillId="0" borderId="15" xfId="0" applyNumberFormat="1" applyFont="1" applyBorder="1" applyAlignment="1"/>
    <xf numFmtId="0" fontId="8" fillId="0" borderId="5" xfId="0" applyFont="1" applyBorder="1" applyAlignment="1"/>
    <xf numFmtId="165" fontId="8" fillId="0" borderId="4" xfId="0" applyNumberFormat="1" applyFont="1" applyBorder="1" applyAlignment="1">
      <alignment horizontal="right"/>
    </xf>
    <xf numFmtId="0" fontId="1" fillId="21" borderId="5" xfId="0" applyFont="1" applyFill="1" applyBorder="1"/>
    <xf numFmtId="165" fontId="1" fillId="21" borderId="5" xfId="0" applyNumberFormat="1" applyFont="1" applyFill="1" applyBorder="1"/>
    <xf numFmtId="165" fontId="1" fillId="21" borderId="5" xfId="0" applyNumberFormat="1" applyFont="1" applyFill="1" applyBorder="1" applyAlignment="1"/>
    <xf numFmtId="0" fontId="35" fillId="0" borderId="0" xfId="0" applyFont="1" applyAlignment="1"/>
    <xf numFmtId="0" fontId="35" fillId="0" borderId="0" xfId="0" applyFont="1"/>
    <xf numFmtId="0" fontId="35" fillId="0" borderId="5" xfId="0" applyFont="1" applyBorder="1" applyAlignment="1"/>
    <xf numFmtId="165" fontId="8" fillId="0" borderId="5" xfId="0" applyNumberFormat="1" applyFont="1" applyBorder="1" applyAlignment="1"/>
    <xf numFmtId="0" fontId="36" fillId="0" borderId="15" xfId="0" applyFont="1" applyBorder="1" applyAlignment="1"/>
    <xf numFmtId="165" fontId="37" fillId="0" borderId="5" xfId="0" applyNumberFormat="1" applyFont="1" applyBorder="1"/>
    <xf numFmtId="165" fontId="38" fillId="0" borderId="15" xfId="0" applyNumberFormat="1" applyFont="1" applyBorder="1" applyAlignment="1">
      <alignment horizontal="right"/>
    </xf>
    <xf numFmtId="165" fontId="39" fillId="0" borderId="5" xfId="0" applyNumberFormat="1" applyFont="1" applyBorder="1"/>
    <xf numFmtId="165" fontId="40" fillId="0" borderId="15" xfId="0" applyNumberFormat="1" applyFont="1" applyBorder="1" applyAlignment="1">
      <alignment horizontal="right"/>
    </xf>
    <xf numFmtId="0" fontId="2" fillId="0" borderId="9" xfId="0" applyFont="1" applyBorder="1" applyAlignment="1"/>
    <xf numFmtId="165" fontId="1" fillId="0" borderId="9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4" borderId="9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24" borderId="11" xfId="0" applyFont="1" applyFill="1" applyBorder="1" applyAlignment="1">
      <alignment horizontal="center"/>
    </xf>
    <xf numFmtId="0" fontId="41" fillId="23" borderId="0" xfId="0" applyFont="1" applyFill="1" applyAlignment="1">
      <alignment horizontal="center"/>
    </xf>
    <xf numFmtId="0" fontId="41" fillId="2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166" fontId="26" fillId="13" borderId="0" xfId="0" applyNumberFormat="1" applyFont="1" applyFill="1" applyAlignment="1">
      <alignment horizontal="center"/>
    </xf>
    <xf numFmtId="49" fontId="26" fillId="13" borderId="0" xfId="0" applyNumberFormat="1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4" fontId="26" fillId="13" borderId="0" xfId="0" applyNumberFormat="1" applyFont="1" applyFill="1" applyAlignment="1">
      <alignment horizontal="center"/>
    </xf>
    <xf numFmtId="165" fontId="26" fillId="13" borderId="8" xfId="0" applyNumberFormat="1" applyFont="1" applyFill="1" applyBorder="1" applyAlignment="1">
      <alignment horizontal="center"/>
    </xf>
    <xf numFmtId="165" fontId="26" fillId="13" borderId="0" xfId="0" applyNumberFormat="1" applyFont="1" applyFill="1" applyAlignment="1">
      <alignment horizontal="center"/>
    </xf>
    <xf numFmtId="10" fontId="26" fillId="13" borderId="0" xfId="0" applyNumberFormat="1" applyFont="1" applyFill="1" applyAlignment="1">
      <alignment horizontal="center"/>
    </xf>
    <xf numFmtId="166" fontId="27" fillId="13" borderId="8" xfId="0" applyNumberFormat="1" applyFont="1" applyFill="1" applyBorder="1" applyAlignment="1"/>
    <xf numFmtId="0" fontId="26" fillId="13" borderId="8" xfId="0" applyFont="1" applyFill="1" applyBorder="1" applyAlignment="1">
      <alignment horizontal="right"/>
    </xf>
    <xf numFmtId="0" fontId="16" fillId="13" borderId="0" xfId="0" applyFont="1" applyFill="1" applyAlignment="1">
      <alignment horizontal="center"/>
    </xf>
    <xf numFmtId="166" fontId="16" fillId="13" borderId="0" xfId="0" applyNumberFormat="1" applyFont="1" applyFill="1" applyAlignment="1">
      <alignment horizontal="center"/>
    </xf>
    <xf numFmtId="49" fontId="16" fillId="13" borderId="0" xfId="0" applyNumberFormat="1" applyFont="1" applyFill="1" applyAlignment="1">
      <alignment horizontal="center"/>
    </xf>
    <xf numFmtId="4" fontId="16" fillId="13" borderId="0" xfId="0" applyNumberFormat="1" applyFont="1" applyFill="1" applyAlignment="1">
      <alignment horizontal="center"/>
    </xf>
    <xf numFmtId="165" fontId="16" fillId="13" borderId="8" xfId="0" applyNumberFormat="1" applyFont="1" applyFill="1" applyBorder="1" applyAlignment="1">
      <alignment horizontal="center"/>
    </xf>
    <xf numFmtId="165" fontId="16" fillId="13" borderId="0" xfId="0" applyNumberFormat="1" applyFont="1" applyFill="1" applyAlignment="1">
      <alignment horizontal="center"/>
    </xf>
    <xf numFmtId="166" fontId="29" fillId="13" borderId="8" xfId="0" applyNumberFormat="1" applyFont="1" applyFill="1" applyBorder="1" applyAlignment="1"/>
    <xf numFmtId="0" fontId="16" fillId="13" borderId="8" xfId="0" applyFont="1" applyFill="1" applyBorder="1" applyAlignment="1">
      <alignment horizontal="right"/>
    </xf>
    <xf numFmtId="10" fontId="8" fillId="14" borderId="0" xfId="0" applyNumberFormat="1" applyFont="1" applyFill="1" applyAlignment="1">
      <alignment horizontal="center"/>
    </xf>
    <xf numFmtId="0" fontId="26" fillId="12" borderId="0" xfId="0" applyFont="1" applyFill="1" applyAlignment="1">
      <alignment horizontal="center"/>
    </xf>
    <xf numFmtId="166" fontId="26" fillId="12" borderId="0" xfId="0" applyNumberFormat="1" applyFont="1" applyFill="1" applyAlignment="1">
      <alignment horizontal="center"/>
    </xf>
    <xf numFmtId="49" fontId="26" fillId="12" borderId="0" xfId="0" applyNumberFormat="1" applyFont="1" applyFill="1" applyAlignment="1">
      <alignment horizontal="center"/>
    </xf>
    <xf numFmtId="4" fontId="26" fillId="12" borderId="0" xfId="0" applyNumberFormat="1" applyFont="1" applyFill="1" applyAlignment="1">
      <alignment horizontal="center"/>
    </xf>
    <xf numFmtId="165" fontId="26" fillId="12" borderId="8" xfId="0" applyNumberFormat="1" applyFont="1" applyFill="1" applyBorder="1" applyAlignment="1">
      <alignment horizontal="center"/>
    </xf>
    <xf numFmtId="165" fontId="26" fillId="12" borderId="0" xfId="0" applyNumberFormat="1" applyFont="1" applyFill="1" applyAlignment="1">
      <alignment horizontal="center"/>
    </xf>
    <xf numFmtId="166" fontId="27" fillId="12" borderId="8" xfId="0" applyNumberFormat="1" applyFont="1" applyFill="1" applyBorder="1" applyAlignment="1"/>
    <xf numFmtId="0" fontId="26" fillId="12" borderId="8" xfId="0" applyFont="1" applyFill="1" applyBorder="1" applyAlignment="1">
      <alignment horizontal="right"/>
    </xf>
    <xf numFmtId="10" fontId="8" fillId="10" borderId="0" xfId="0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166" fontId="9" fillId="15" borderId="0" xfId="0" applyNumberFormat="1" applyFont="1" applyFill="1" applyAlignment="1">
      <alignment horizontal="center"/>
    </xf>
    <xf numFmtId="49" fontId="9" fillId="15" borderId="0" xfId="0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4" fontId="9" fillId="15" borderId="0" xfId="0" applyNumberFormat="1" applyFont="1" applyFill="1" applyAlignment="1">
      <alignment horizontal="center"/>
    </xf>
    <xf numFmtId="165" fontId="9" fillId="15" borderId="8" xfId="0" applyNumberFormat="1" applyFont="1" applyFill="1" applyBorder="1" applyAlignment="1">
      <alignment horizontal="center"/>
    </xf>
    <xf numFmtId="165" fontId="9" fillId="15" borderId="0" xfId="0" applyNumberFormat="1" applyFont="1" applyFill="1" applyAlignment="1">
      <alignment horizontal="center"/>
    </xf>
    <xf numFmtId="10" fontId="9" fillId="15" borderId="0" xfId="0" applyNumberFormat="1" applyFont="1" applyFill="1" applyAlignment="1">
      <alignment horizontal="center"/>
    </xf>
    <xf numFmtId="166" fontId="28" fillId="15" borderId="8" xfId="0" applyNumberFormat="1" applyFont="1" applyFill="1" applyBorder="1" applyAlignment="1"/>
    <xf numFmtId="0" fontId="9" fillId="15" borderId="8" xfId="0" applyFont="1" applyFill="1" applyBorder="1" applyAlignment="1">
      <alignment horizontal="right"/>
    </xf>
    <xf numFmtId="10" fontId="8" fillId="9" borderId="0" xfId="0" applyNumberFormat="1" applyFont="1" applyFill="1" applyAlignment="1">
      <alignment horizontal="center"/>
    </xf>
    <xf numFmtId="165" fontId="8" fillId="9" borderId="8" xfId="0" applyNumberFormat="1" applyFont="1" applyFill="1" applyBorder="1" applyAlignment="1">
      <alignment horizontal="center"/>
    </xf>
    <xf numFmtId="169" fontId="9" fillId="8" borderId="0" xfId="0" applyNumberFormat="1" applyFont="1" applyFill="1" applyAlignment="1">
      <alignment horizontal="center"/>
    </xf>
    <xf numFmtId="165" fontId="9" fillId="8" borderId="8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6" fontId="8" fillId="7" borderId="0" xfId="0" applyNumberFormat="1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165" fontId="8" fillId="7" borderId="8" xfId="0" applyNumberFormat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center"/>
    </xf>
    <xf numFmtId="0" fontId="25" fillId="7" borderId="8" xfId="0" applyFont="1" applyFill="1" applyBorder="1" applyAlignment="1"/>
    <xf numFmtId="0" fontId="8" fillId="7" borderId="8" xfId="0" applyFont="1" applyFill="1" applyBorder="1" applyAlignment="1">
      <alignment horizontal="right"/>
    </xf>
    <xf numFmtId="169" fontId="9" fillId="7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166" fontId="9" fillId="11" borderId="0" xfId="0" applyNumberFormat="1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4" fontId="9" fillId="11" borderId="0" xfId="0" applyNumberFormat="1" applyFont="1" applyFill="1" applyAlignment="1">
      <alignment horizontal="center"/>
    </xf>
    <xf numFmtId="165" fontId="9" fillId="11" borderId="8" xfId="0" applyNumberFormat="1" applyFont="1" applyFill="1" applyBorder="1" applyAlignment="1">
      <alignment horizontal="center"/>
    </xf>
    <xf numFmtId="165" fontId="9" fillId="11" borderId="0" xfId="0" applyNumberFormat="1" applyFont="1" applyFill="1" applyAlignment="1">
      <alignment horizontal="center"/>
    </xf>
    <xf numFmtId="0" fontId="28" fillId="11" borderId="8" xfId="0" applyFont="1" applyFill="1" applyBorder="1" applyAlignment="1"/>
    <xf numFmtId="0" fontId="9" fillId="11" borderId="8" xfId="0" applyFont="1" applyFill="1" applyBorder="1" applyAlignment="1">
      <alignment horizontal="right"/>
    </xf>
    <xf numFmtId="165" fontId="9" fillId="14" borderId="8" xfId="0" applyNumberFormat="1" applyFont="1" applyFill="1" applyBorder="1" applyAlignment="1">
      <alignment horizontal="center"/>
    </xf>
    <xf numFmtId="10" fontId="8" fillId="11" borderId="0" xfId="0" applyNumberFormat="1" applyFont="1" applyFill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10" fontId="16" fillId="5" borderId="0" xfId="0" applyNumberFormat="1" applyFont="1" applyFill="1" applyAlignment="1">
      <alignment horizontal="center"/>
    </xf>
    <xf numFmtId="10" fontId="16" fillId="12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166" fontId="9" fillId="9" borderId="0" xfId="0" applyNumberFormat="1" applyFont="1" applyFill="1" applyAlignment="1">
      <alignment horizontal="center"/>
    </xf>
    <xf numFmtId="49" fontId="9" fillId="9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4" fontId="9" fillId="9" borderId="0" xfId="0" applyNumberFormat="1" applyFont="1" applyFill="1" applyAlignment="1">
      <alignment horizontal="center"/>
    </xf>
    <xf numFmtId="165" fontId="9" fillId="9" borderId="8" xfId="0" applyNumberFormat="1" applyFont="1" applyFill="1" applyBorder="1" applyAlignment="1">
      <alignment horizontal="center"/>
    </xf>
    <xf numFmtId="165" fontId="9" fillId="9" borderId="0" xfId="0" applyNumberFormat="1" applyFont="1" applyFill="1" applyAlignment="1">
      <alignment horizontal="center"/>
    </xf>
    <xf numFmtId="0" fontId="28" fillId="9" borderId="8" xfId="0" applyFont="1" applyFill="1" applyBorder="1" applyAlignment="1"/>
    <xf numFmtId="0" fontId="9" fillId="9" borderId="8" xfId="0" applyFont="1" applyFill="1" applyBorder="1" applyAlignment="1">
      <alignment horizontal="right"/>
    </xf>
    <xf numFmtId="10" fontId="2" fillId="0" borderId="7" xfId="0" applyNumberFormat="1" applyFont="1" applyBorder="1" applyAlignment="1">
      <alignment horizontal="center"/>
    </xf>
    <xf numFmtId="10" fontId="1" fillId="10" borderId="7" xfId="0" applyNumberFormat="1" applyFont="1" applyFill="1" applyBorder="1" applyAlignment="1">
      <alignment horizontal="center"/>
    </xf>
    <xf numFmtId="10" fontId="1" fillId="10" borderId="0" xfId="0" applyNumberFormat="1" applyFont="1" applyFill="1" applyAlignment="1">
      <alignment horizontal="center"/>
    </xf>
    <xf numFmtId="10" fontId="42" fillId="13" borderId="0" xfId="0" applyNumberFormat="1" applyFont="1" applyFill="1" applyAlignment="1">
      <alignment horizontal="center"/>
    </xf>
    <xf numFmtId="10" fontId="1" fillId="7" borderId="0" xfId="0" applyNumberFormat="1" applyFont="1" applyFill="1" applyAlignment="1">
      <alignment horizontal="center"/>
    </xf>
    <xf numFmtId="10" fontId="42" fillId="5" borderId="0" xfId="0" applyNumberFormat="1" applyFont="1" applyFill="1" applyAlignment="1">
      <alignment horizontal="center"/>
    </xf>
    <xf numFmtId="10" fontId="1" fillId="14" borderId="0" xfId="0" applyNumberFormat="1" applyFont="1" applyFill="1" applyAlignment="1">
      <alignment horizontal="center"/>
    </xf>
    <xf numFmtId="10" fontId="12" fillId="12" borderId="0" xfId="0" applyNumberFormat="1" applyFont="1" applyFill="1" applyAlignment="1">
      <alignment horizontal="center"/>
    </xf>
    <xf numFmtId="10" fontId="12" fillId="5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10" fontId="1" fillId="15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165" fontId="43" fillId="0" borderId="5" xfId="0" applyNumberFormat="1" applyFont="1" applyBorder="1"/>
    <xf numFmtId="165" fontId="1" fillId="0" borderId="0" xfId="0" applyNumberFormat="1" applyFont="1"/>
  </cellXfs>
  <cellStyles count="1">
    <cellStyle name="Normal" xfId="0" builtinId="0"/>
  </cellStyles>
  <dxfs count="1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PlanFinanciar!$F$1</c:f>
              <c:strCache>
                <c:ptCount val="1"/>
                <c:pt idx="0">
                  <c:v>Win Per Month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PlanFinanciar!$B$2:$B$138</c:f>
              <c:strCache>
                <c:ptCount val="137"/>
                <c:pt idx="0">
                  <c:v>August</c:v>
                </c:pt>
                <c:pt idx="1">
                  <c:v>September</c:v>
                </c:pt>
                <c:pt idx="2">
                  <c:v>Octomber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Octomber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  <c:pt idx="23">
                  <c:v>July</c:v>
                </c:pt>
                <c:pt idx="24">
                  <c:v>August</c:v>
                </c:pt>
                <c:pt idx="25">
                  <c:v>September</c:v>
                </c:pt>
                <c:pt idx="26">
                  <c:v>Octomber</c:v>
                </c:pt>
                <c:pt idx="27">
                  <c:v>November</c:v>
                </c:pt>
                <c:pt idx="28">
                  <c:v>December</c:v>
                </c:pt>
                <c:pt idx="29">
                  <c:v>January</c:v>
                </c:pt>
                <c:pt idx="30">
                  <c:v>February</c:v>
                </c:pt>
                <c:pt idx="31">
                  <c:v>March</c:v>
                </c:pt>
                <c:pt idx="32">
                  <c:v>April</c:v>
                </c:pt>
                <c:pt idx="33">
                  <c:v>May</c:v>
                </c:pt>
                <c:pt idx="34">
                  <c:v>June</c:v>
                </c:pt>
                <c:pt idx="35">
                  <c:v>July</c:v>
                </c:pt>
                <c:pt idx="36">
                  <c:v>August</c:v>
                </c:pt>
                <c:pt idx="37">
                  <c:v>September</c:v>
                </c:pt>
                <c:pt idx="38">
                  <c:v>Octomber</c:v>
                </c:pt>
                <c:pt idx="39">
                  <c:v>November</c:v>
                </c:pt>
                <c:pt idx="40">
                  <c:v>December</c:v>
                </c:pt>
                <c:pt idx="41">
                  <c:v>January</c:v>
                </c:pt>
                <c:pt idx="42">
                  <c:v>February</c:v>
                </c:pt>
                <c:pt idx="43">
                  <c:v>March</c:v>
                </c:pt>
                <c:pt idx="44">
                  <c:v>April</c:v>
                </c:pt>
                <c:pt idx="45">
                  <c:v>May</c:v>
                </c:pt>
                <c:pt idx="46">
                  <c:v>June</c:v>
                </c:pt>
                <c:pt idx="47">
                  <c:v>July</c:v>
                </c:pt>
                <c:pt idx="48">
                  <c:v>August</c:v>
                </c:pt>
                <c:pt idx="49">
                  <c:v>September</c:v>
                </c:pt>
                <c:pt idx="50">
                  <c:v>Octomber</c:v>
                </c:pt>
                <c:pt idx="51">
                  <c:v>November</c:v>
                </c:pt>
                <c:pt idx="52">
                  <c:v>December</c:v>
                </c:pt>
                <c:pt idx="53">
                  <c:v>January</c:v>
                </c:pt>
                <c:pt idx="54">
                  <c:v>February</c:v>
                </c:pt>
                <c:pt idx="55">
                  <c:v>March</c:v>
                </c:pt>
                <c:pt idx="56">
                  <c:v>April</c:v>
                </c:pt>
                <c:pt idx="57">
                  <c:v>May</c:v>
                </c:pt>
                <c:pt idx="58">
                  <c:v>June</c:v>
                </c:pt>
                <c:pt idx="59">
                  <c:v>July</c:v>
                </c:pt>
                <c:pt idx="60">
                  <c:v>August</c:v>
                </c:pt>
                <c:pt idx="61">
                  <c:v>September</c:v>
                </c:pt>
                <c:pt idx="62">
                  <c:v>Octomber</c:v>
                </c:pt>
                <c:pt idx="63">
                  <c:v>November</c:v>
                </c:pt>
                <c:pt idx="64">
                  <c:v>December</c:v>
                </c:pt>
                <c:pt idx="65">
                  <c:v>January</c:v>
                </c:pt>
                <c:pt idx="66">
                  <c:v>February</c:v>
                </c:pt>
                <c:pt idx="67">
                  <c:v>March</c:v>
                </c:pt>
                <c:pt idx="68">
                  <c:v>April</c:v>
                </c:pt>
                <c:pt idx="69">
                  <c:v>May</c:v>
                </c:pt>
                <c:pt idx="70">
                  <c:v>June</c:v>
                </c:pt>
                <c:pt idx="71">
                  <c:v>July</c:v>
                </c:pt>
                <c:pt idx="72">
                  <c:v>August</c:v>
                </c:pt>
                <c:pt idx="73">
                  <c:v>September</c:v>
                </c:pt>
                <c:pt idx="74">
                  <c:v>Octomber</c:v>
                </c:pt>
                <c:pt idx="75">
                  <c:v>November</c:v>
                </c:pt>
                <c:pt idx="76">
                  <c:v>December</c:v>
                </c:pt>
                <c:pt idx="77">
                  <c:v>January</c:v>
                </c:pt>
                <c:pt idx="78">
                  <c:v>February</c:v>
                </c:pt>
                <c:pt idx="79">
                  <c:v>March</c:v>
                </c:pt>
                <c:pt idx="80">
                  <c:v>April</c:v>
                </c:pt>
                <c:pt idx="81">
                  <c:v>May</c:v>
                </c:pt>
                <c:pt idx="82">
                  <c:v>June</c:v>
                </c:pt>
                <c:pt idx="83">
                  <c:v>July</c:v>
                </c:pt>
                <c:pt idx="84">
                  <c:v>August</c:v>
                </c:pt>
                <c:pt idx="85">
                  <c:v>September</c:v>
                </c:pt>
                <c:pt idx="86">
                  <c:v>Octomber</c:v>
                </c:pt>
                <c:pt idx="87">
                  <c:v>November</c:v>
                </c:pt>
                <c:pt idx="88">
                  <c:v>December</c:v>
                </c:pt>
                <c:pt idx="89">
                  <c:v>January</c:v>
                </c:pt>
                <c:pt idx="90">
                  <c:v>February</c:v>
                </c:pt>
                <c:pt idx="91">
                  <c:v>March</c:v>
                </c:pt>
                <c:pt idx="92">
                  <c:v>April</c:v>
                </c:pt>
                <c:pt idx="93">
                  <c:v>May</c:v>
                </c:pt>
                <c:pt idx="94">
                  <c:v>June</c:v>
                </c:pt>
                <c:pt idx="95">
                  <c:v>July</c:v>
                </c:pt>
                <c:pt idx="96">
                  <c:v>August</c:v>
                </c:pt>
                <c:pt idx="97">
                  <c:v>September</c:v>
                </c:pt>
                <c:pt idx="98">
                  <c:v>Octomber</c:v>
                </c:pt>
                <c:pt idx="99">
                  <c:v>November</c:v>
                </c:pt>
                <c:pt idx="100">
                  <c:v>December</c:v>
                </c:pt>
                <c:pt idx="101">
                  <c:v>January</c:v>
                </c:pt>
                <c:pt idx="102">
                  <c:v>February</c:v>
                </c:pt>
                <c:pt idx="103">
                  <c:v>March</c:v>
                </c:pt>
                <c:pt idx="104">
                  <c:v>April</c:v>
                </c:pt>
                <c:pt idx="105">
                  <c:v>May</c:v>
                </c:pt>
                <c:pt idx="106">
                  <c:v>June</c:v>
                </c:pt>
                <c:pt idx="107">
                  <c:v>July</c:v>
                </c:pt>
                <c:pt idx="108">
                  <c:v>August</c:v>
                </c:pt>
                <c:pt idx="109">
                  <c:v>September</c:v>
                </c:pt>
                <c:pt idx="110">
                  <c:v>Octomber</c:v>
                </c:pt>
                <c:pt idx="111">
                  <c:v>November</c:v>
                </c:pt>
                <c:pt idx="112">
                  <c:v>December</c:v>
                </c:pt>
                <c:pt idx="113">
                  <c:v>January</c:v>
                </c:pt>
                <c:pt idx="114">
                  <c:v>February</c:v>
                </c:pt>
                <c:pt idx="115">
                  <c:v>March</c:v>
                </c:pt>
                <c:pt idx="116">
                  <c:v>April</c:v>
                </c:pt>
                <c:pt idx="117">
                  <c:v>May</c:v>
                </c:pt>
                <c:pt idx="118">
                  <c:v>June</c:v>
                </c:pt>
                <c:pt idx="119">
                  <c:v>July</c:v>
                </c:pt>
                <c:pt idx="120">
                  <c:v>August</c:v>
                </c:pt>
                <c:pt idx="121">
                  <c:v>September</c:v>
                </c:pt>
                <c:pt idx="122">
                  <c:v>Octomber</c:v>
                </c:pt>
                <c:pt idx="123">
                  <c:v>November</c:v>
                </c:pt>
                <c:pt idx="124">
                  <c:v>December</c:v>
                </c:pt>
                <c:pt idx="125">
                  <c:v>January</c:v>
                </c:pt>
                <c:pt idx="126">
                  <c:v>February</c:v>
                </c:pt>
                <c:pt idx="127">
                  <c:v>March</c:v>
                </c:pt>
                <c:pt idx="128">
                  <c:v>April</c:v>
                </c:pt>
                <c:pt idx="129">
                  <c:v>May</c:v>
                </c:pt>
                <c:pt idx="130">
                  <c:v>June</c:v>
                </c:pt>
                <c:pt idx="131">
                  <c:v>July</c:v>
                </c:pt>
                <c:pt idx="132">
                  <c:v>August</c:v>
                </c:pt>
                <c:pt idx="133">
                  <c:v>September</c:v>
                </c:pt>
                <c:pt idx="134">
                  <c:v>Octomber</c:v>
                </c:pt>
                <c:pt idx="135">
                  <c:v>November</c:v>
                </c:pt>
                <c:pt idx="136">
                  <c:v>December</c:v>
                </c:pt>
              </c:strCache>
            </c:strRef>
          </c:cat>
          <c:val>
            <c:numRef>
              <c:f>PlanFinanciar!$F$2:$F$138</c:f>
              <c:numCache>
                <c:formatCode>#,##0.00\ [$lei-418]</c:formatCode>
                <c:ptCount val="137"/>
                <c:pt idx="0">
                  <c:v>2.5351666666666666</c:v>
                </c:pt>
                <c:pt idx="1">
                  <c:v>4.6792451527777779</c:v>
                </c:pt>
                <c:pt idx="2">
                  <c:v>6.5060659070497691</c:v>
                </c:pt>
                <c:pt idx="3">
                  <c:v>8.417711632232189</c:v>
                </c:pt>
                <c:pt idx="4">
                  <c:v>10.342722146975648</c:v>
                </c:pt>
                <c:pt idx="5">
                  <c:v>14.151119757353536</c:v>
                </c:pt>
                <c:pt idx="6">
                  <c:v>16.490764426251516</c:v>
                </c:pt>
                <c:pt idx="7">
                  <c:v>18.572967369813075</c:v>
                </c:pt>
                <c:pt idx="8">
                  <c:v>22.936264031233659</c:v>
                </c:pt>
                <c:pt idx="9">
                  <c:v>25.232701674262469</c:v>
                </c:pt>
                <c:pt idx="10">
                  <c:v>27.294122062129734</c:v>
                </c:pt>
                <c:pt idx="11">
                  <c:v>29.5360634025613</c:v>
                </c:pt>
                <c:pt idx="12">
                  <c:v>31.810308137778847</c:v>
                </c:pt>
                <c:pt idx="13">
                  <c:v>34.073854115384499</c:v>
                </c:pt>
                <c:pt idx="14">
                  <c:v>36.688267353541086</c:v>
                </c:pt>
                <c:pt idx="15">
                  <c:v>39.254911478181974</c:v>
                </c:pt>
                <c:pt idx="16">
                  <c:v>41.447314048357704</c:v>
                </c:pt>
                <c:pt idx="17">
                  <c:v>43.501981715643545</c:v>
                </c:pt>
                <c:pt idx="18">
                  <c:v>46.242503287514182</c:v>
                </c:pt>
                <c:pt idx="19">
                  <c:v>48.389205856780251</c:v>
                </c:pt>
                <c:pt idx="20">
                  <c:v>50.920473740187212</c:v>
                </c:pt>
                <c:pt idx="21">
                  <c:v>53.321757508918211</c:v>
                </c:pt>
                <c:pt idx="22">
                  <c:v>55.49342113219128</c:v>
                </c:pt>
                <c:pt idx="23">
                  <c:v>58.06784909449587</c:v>
                </c:pt>
                <c:pt idx="24">
                  <c:v>60.455034108887446</c:v>
                </c:pt>
                <c:pt idx="25">
                  <c:v>62.830023031632813</c:v>
                </c:pt>
                <c:pt idx="26">
                  <c:v>65.562076051497215</c:v>
                </c:pt>
                <c:pt idx="27">
                  <c:v>68.253969898905268</c:v>
                </c:pt>
                <c:pt idx="28">
                  <c:v>70.554267386842113</c:v>
                </c:pt>
                <c:pt idx="29">
                  <c:v>72.714514362979031</c:v>
                </c:pt>
                <c:pt idx="30">
                  <c:v>75.602335445398424</c:v>
                </c:pt>
                <c:pt idx="31">
                  <c:v>77.856547836577974</c:v>
                </c:pt>
                <c:pt idx="32">
                  <c:v>80.507467673631311</c:v>
                </c:pt>
                <c:pt idx="33">
                  <c:v>84.892911263692866</c:v>
                </c:pt>
                <c:pt idx="34">
                  <c:v>89.150872275645682</c:v>
                </c:pt>
                <c:pt idx="35">
                  <c:v>93.994297086746712</c:v>
                </c:pt>
                <c:pt idx="36">
                  <c:v>98.502894455294054</c:v>
                </c:pt>
                <c:pt idx="37">
                  <c:v>102.97117057665336</c:v>
                </c:pt>
                <c:pt idx="38">
                  <c:v>107.91290899910634</c:v>
                </c:pt>
                <c:pt idx="39">
                  <c:v>112.95742948402606</c:v>
                </c:pt>
                <c:pt idx="40">
                  <c:v>117.28436984165454</c:v>
                </c:pt>
                <c:pt idx="41">
                  <c:v>121.42776447580979</c:v>
                </c:pt>
                <c:pt idx="42">
                  <c:v>127.08238411517027</c:v>
                </c:pt>
                <c:pt idx="43">
                  <c:v>131.3560059328918</c:v>
                </c:pt>
                <c:pt idx="44">
                  <c:v>136.25440677956055</c:v>
                </c:pt>
                <c:pt idx="45">
                  <c:v>140.84871281904631</c:v>
                </c:pt>
                <c:pt idx="46">
                  <c:v>145.32628778454384</c:v>
                </c:pt>
                <c:pt idx="47">
                  <c:v>150.40855839550468</c:v>
                </c:pt>
                <c:pt idx="48">
                  <c:v>155.14046609206312</c:v>
                </c:pt>
                <c:pt idx="49">
                  <c:v>159.8290919488372</c:v>
                </c:pt>
                <c:pt idx="50">
                  <c:v>165.00343275577558</c:v>
                </c:pt>
                <c:pt idx="51">
                  <c:v>170.29560232460923</c:v>
                </c:pt>
                <c:pt idx="52">
                  <c:v>174.83587710687496</c:v>
                </c:pt>
                <c:pt idx="53">
                  <c:v>179.18802764515181</c:v>
                </c:pt>
                <c:pt idx="54">
                  <c:v>185.13389414751882</c:v>
                </c:pt>
                <c:pt idx="55">
                  <c:v>189.62008896197355</c:v>
                </c:pt>
                <c:pt idx="56">
                  <c:v>196.78531754732441</c:v>
                </c:pt>
                <c:pt idx="57">
                  <c:v>203.47971842391826</c:v>
                </c:pt>
                <c:pt idx="58">
                  <c:v>210.16549372062715</c:v>
                </c:pt>
                <c:pt idx="59">
                  <c:v>217.64933930369708</c:v>
                </c:pt>
                <c:pt idx="60">
                  <c:v>224.62661407424068</c:v>
                </c:pt>
                <c:pt idx="61">
                  <c:v>231.53083848871844</c:v>
                </c:pt>
                <c:pt idx="62">
                  <c:v>239.04397723709357</c:v>
                </c:pt>
                <c:pt idx="63">
                  <c:v>246.82623807880063</c:v>
                </c:pt>
                <c:pt idx="64">
                  <c:v>253.51157304298616</c:v>
                </c:pt>
                <c:pt idx="65">
                  <c:v>259.96274711407222</c:v>
                </c:pt>
                <c:pt idx="66">
                  <c:v>268.83707699034909</c:v>
                </c:pt>
                <c:pt idx="67">
                  <c:v>275.46067589145861</c:v>
                </c:pt>
                <c:pt idx="68">
                  <c:v>282.97445963103092</c:v>
                </c:pt>
                <c:pt idx="69">
                  <c:v>289.99177824298545</c:v>
                </c:pt>
                <c:pt idx="70">
                  <c:v>297.01709394405026</c:v>
                </c:pt>
                <c:pt idx="71">
                  <c:v>304.87021387492069</c:v>
                </c:pt>
                <c:pt idx="72">
                  <c:v>312.192743934784</c:v>
                </c:pt>
                <c:pt idx="73">
                  <c:v>319.43764633012245</c:v>
                </c:pt>
                <c:pt idx="74">
                  <c:v>327.31040661623484</c:v>
                </c:pt>
                <c:pt idx="75">
                  <c:v>335.47555237364639</c:v>
                </c:pt>
                <c:pt idx="76">
                  <c:v>342.49071909776882</c:v>
                </c:pt>
                <c:pt idx="77">
                  <c:v>345.63735796072325</c:v>
                </c:pt>
                <c:pt idx="78">
                  <c:v>349.90134870856849</c:v>
                </c:pt>
                <c:pt idx="79">
                  <c:v>353.15998911924015</c:v>
                </c:pt>
                <c:pt idx="80">
                  <c:v>356.92877681887938</c:v>
                </c:pt>
                <c:pt idx="81">
                  <c:v>360.47655660605034</c:v>
                </c:pt>
                <c:pt idx="82">
                  <c:v>363.85373382943203</c:v>
                </c:pt>
                <c:pt idx="83">
                  <c:v>367.73924360330835</c:v>
                </c:pt>
                <c:pt idx="84">
                  <c:v>371.35223250273071</c:v>
                </c:pt>
                <c:pt idx="85">
                  <c:v>374.93677390852804</c:v>
                </c:pt>
                <c:pt idx="86">
                  <c:v>378.94563713734721</c:v>
                </c:pt>
                <c:pt idx="87">
                  <c:v>382.99693613134986</c:v>
                </c:pt>
                <c:pt idx="88">
                  <c:v>386.46827738094447</c:v>
                </c:pt>
                <c:pt idx="89">
                  <c:v>389.77443552283211</c:v>
                </c:pt>
                <c:pt idx="90">
                  <c:v>394.26098040524818</c:v>
                </c:pt>
                <c:pt idx="91">
                  <c:v>397.6820568979183</c:v>
                </c:pt>
                <c:pt idx="92">
                  <c:v>401.63162616902559</c:v>
                </c:pt>
                <c:pt idx="93">
                  <c:v>405.34689042729497</c:v>
                </c:pt>
                <c:pt idx="94">
                  <c:v>408.90017363313865</c:v>
                </c:pt>
                <c:pt idx="95">
                  <c:v>412.97721119276054</c:v>
                </c:pt>
                <c:pt idx="96">
                  <c:v>416.76927015614541</c:v>
                </c:pt>
                <c:pt idx="97">
                  <c:v>420.53050755968843</c:v>
                </c:pt>
                <c:pt idx="98">
                  <c:v>424.72589204902698</c:v>
                </c:pt>
                <c:pt idx="99">
                  <c:v>428.97577808417412</c:v>
                </c:pt>
                <c:pt idx="100">
                  <c:v>432.61818983196486</c:v>
                </c:pt>
                <c:pt idx="101">
                  <c:v>436.09174700745984</c:v>
                </c:pt>
                <c:pt idx="102">
                  <c:v>440.81183950431887</c:v>
                </c:pt>
                <c:pt idx="103">
                  <c:v>444.40337591463248</c:v>
                </c:pt>
                <c:pt idx="104">
                  <c:v>448.54265680279428</c:v>
                </c:pt>
                <c:pt idx="105">
                  <c:v>452.4336787424777</c:v>
                </c:pt>
                <c:pt idx="106">
                  <c:v>456.17176701686088</c:v>
                </c:pt>
                <c:pt idx="107">
                  <c:v>460.44979323727148</c:v>
                </c:pt>
                <c:pt idx="108">
                  <c:v>464.42976776707445</c:v>
                </c:pt>
                <c:pt idx="109">
                  <c:v>468.37642939935478</c:v>
                </c:pt>
                <c:pt idx="110">
                  <c:v>472.76754871753025</c:v>
                </c:pt>
                <c:pt idx="111">
                  <c:v>477.22583137405655</c:v>
                </c:pt>
                <c:pt idx="112">
                  <c:v>481.04776396890907</c:v>
                </c:pt>
                <c:pt idx="113">
                  <c:v>484.69698916798143</c:v>
                </c:pt>
                <c:pt idx="114">
                  <c:v>489.66216580276097</c:v>
                </c:pt>
                <c:pt idx="115">
                  <c:v>493.43258231880947</c:v>
                </c:pt>
                <c:pt idx="116">
                  <c:v>497.77094598600223</c:v>
                </c:pt>
                <c:pt idx="117">
                  <c:v>501.84640748819197</c:v>
                </c:pt>
                <c:pt idx="118">
                  <c:v>505.77842962490303</c:v>
                </c:pt>
                <c:pt idx="119">
                  <c:v>510.26737271885446</c:v>
                </c:pt>
                <c:pt idx="120">
                  <c:v>514.44454525775416</c:v>
                </c:pt>
                <c:pt idx="121">
                  <c:v>518.58579049714228</c:v>
                </c:pt>
                <c:pt idx="122">
                  <c:v>523.18231333400047</c:v>
                </c:pt>
                <c:pt idx="123">
                  <c:v>527.85928675479829</c:v>
                </c:pt>
                <c:pt idx="124">
                  <c:v>531.86960796644678</c:v>
                </c:pt>
                <c:pt idx="125">
                  <c:v>535.70317864137155</c:v>
                </c:pt>
                <c:pt idx="126">
                  <c:v>540.92554580581486</c:v>
                </c:pt>
                <c:pt idx="127">
                  <c:v>544.88367854671003</c:v>
                </c:pt>
                <c:pt idx="128">
                  <c:v>549.43095906107339</c:v>
                </c:pt>
                <c:pt idx="129">
                  <c:v>553.69997086470016</c:v>
                </c:pt>
                <c:pt idx="130">
                  <c:v>557.83550659145828</c:v>
                </c:pt>
                <c:pt idx="131">
                  <c:v>562.54578519443635</c:v>
                </c:pt>
                <c:pt idx="132">
                  <c:v>566.92989670881832</c:v>
                </c:pt>
                <c:pt idx="133">
                  <c:v>571.27533737839815</c:v>
                </c:pt>
                <c:pt idx="134">
                  <c:v>576.08741002689669</c:v>
                </c:pt>
                <c:pt idx="135">
                  <c:v>580.99387685339912</c:v>
                </c:pt>
                <c:pt idx="136">
                  <c:v>585.20189249173495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DB-4F25-B89A-EFAD7F55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347844"/>
        <c:axId val="140598006"/>
      </c:barChart>
      <c:catAx>
        <c:axId val="532347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598006"/>
        <c:crosses val="autoZero"/>
        <c:auto val="1"/>
        <c:lblAlgn val="ctr"/>
        <c:lblOffset val="100"/>
        <c:noMultiLvlLbl val="1"/>
      </c:catAx>
      <c:valAx>
        <c:axId val="140598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[$lei-418]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2347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Win/Year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PlanFinanciar!$J$1</c:f>
              <c:strCache>
                <c:ptCount val="1"/>
                <c:pt idx="0">
                  <c:v>Win/Year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PlanFinanciar!$I$2:$I$13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PlanFinanciar!$J$2:$J$13</c:f>
              <c:numCache>
                <c:formatCode>#,##0.00\ [$lei-418]</c:formatCode>
                <c:ptCount val="12"/>
                <c:pt idx="0">
                  <c:v>124.11266576370778</c:v>
                </c:pt>
                <c:pt idx="1">
                  <c:v>497.36776858029242</c:v>
                </c:pt>
                <c:pt idx="2">
                  <c:v>846.6512086421053</c:v>
                </c:pt>
                <c:pt idx="3">
                  <c:v>1407.4124380998544</c:v>
                </c:pt>
                <c:pt idx="4">
                  <c:v>2098.0305252824996</c:v>
                </c:pt>
                <c:pt idx="5">
                  <c:v>3042.138876515834</c:v>
                </c:pt>
                <c:pt idx="6">
                  <c:v>4109.888629173226</c:v>
                </c:pt>
                <c:pt idx="7">
                  <c:v>4637.6193285713334</c:v>
                </c:pt>
                <c:pt idx="8">
                  <c:v>5191.4182779835783</c:v>
                </c:pt>
                <c:pt idx="9">
                  <c:v>5772.5731676269088</c:v>
                </c:pt>
                <c:pt idx="10">
                  <c:v>6382.4352955973609</c:v>
                </c:pt>
                <c:pt idx="11">
                  <c:v>7022.4227099008194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35-483F-85C1-CE997A9E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249879"/>
        <c:axId val="1962270840"/>
      </c:barChart>
      <c:catAx>
        <c:axId val="148124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2270840"/>
        <c:crosses val="autoZero"/>
        <c:auto val="1"/>
        <c:lblAlgn val="ctr"/>
        <c:lblOffset val="100"/>
        <c:noMultiLvlLbl val="1"/>
      </c:catAx>
      <c:valAx>
        <c:axId val="196227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Win/Year</a:t>
                </a:r>
              </a:p>
            </c:rich>
          </c:tx>
          <c:overlay val="0"/>
        </c:title>
        <c:numFmt formatCode="#,##0.00\ [$lei-418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12498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Earnings_summary!$A$2:$A$11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Earnings_summary!$N$2:$N$11</c:f>
              <c:numCache>
                <c:formatCode>#,##0.00\ [$lei-418]</c:formatCode>
                <c:ptCount val="10"/>
                <c:pt idx="0">
                  <c:v>36.81</c:v>
                </c:pt>
                <c:pt idx="1">
                  <c:v>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D9-41E6-A738-5330B46C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57078"/>
        <c:axId val="1143095618"/>
      </c:barChart>
      <c:catAx>
        <c:axId val="41315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095618"/>
        <c:crosses val="autoZero"/>
        <c:auto val="1"/>
        <c:lblAlgn val="ctr"/>
        <c:lblOffset val="100"/>
        <c:noMultiLvlLbl val="1"/>
      </c:catAx>
      <c:valAx>
        <c:axId val="114309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[$lei-418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3157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'Year - ROI'!$B$1</c:f>
              <c:strCache>
                <c:ptCount val="1"/>
                <c:pt idx="0">
                  <c:v>ROI 2022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ROI'!$B$2:$B$63</c:f>
              <c:numCache>
                <c:formatCode>General</c:formatCode>
                <c:ptCount val="62"/>
                <c:pt idx="0">
                  <c:v>2.5963808025177024</c:v>
                </c:pt>
                <c:pt idx="1">
                  <c:v>0.79426578845408757</c:v>
                </c:pt>
                <c:pt idx="2">
                  <c:v>0</c:v>
                </c:pt>
                <c:pt idx="3">
                  <c:v>0.55360767669311683</c:v>
                </c:pt>
                <c:pt idx="4">
                  <c:v>1.7</c:v>
                </c:pt>
                <c:pt idx="5">
                  <c:v>0.36</c:v>
                </c:pt>
                <c:pt idx="6">
                  <c:v>0.93263111696291423</c:v>
                </c:pt>
                <c:pt idx="7">
                  <c:v>0.78832803859277567</c:v>
                </c:pt>
                <c:pt idx="8">
                  <c:v>0.65454545454545454</c:v>
                </c:pt>
                <c:pt idx="9">
                  <c:v>0.67284960901982183</c:v>
                </c:pt>
                <c:pt idx="10">
                  <c:v>0.9</c:v>
                </c:pt>
                <c:pt idx="11">
                  <c:v>0.43552357508047718</c:v>
                </c:pt>
                <c:pt idx="12">
                  <c:v>0.34596090641757482</c:v>
                </c:pt>
                <c:pt idx="13">
                  <c:v>0.39823008849557523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2.7031665665493865</c:v>
                </c:pt>
                <c:pt idx="18">
                  <c:v>0.63636363636363635</c:v>
                </c:pt>
                <c:pt idx="19">
                  <c:v>1.3142857142857143</c:v>
                </c:pt>
                <c:pt idx="20">
                  <c:v>0.66666666666666663</c:v>
                </c:pt>
                <c:pt idx="21">
                  <c:v>1</c:v>
                </c:pt>
                <c:pt idx="22">
                  <c:v>1.2670890296765589</c:v>
                </c:pt>
                <c:pt idx="23">
                  <c:v>1.5883925162275678</c:v>
                </c:pt>
                <c:pt idx="24">
                  <c:v>0</c:v>
                </c:pt>
                <c:pt idx="25">
                  <c:v>0.43644298963447903</c:v>
                </c:pt>
                <c:pt idx="26">
                  <c:v>1.7005668556185396</c:v>
                </c:pt>
                <c:pt idx="27">
                  <c:v>0</c:v>
                </c:pt>
                <c:pt idx="28">
                  <c:v>0.95011876484560565</c:v>
                </c:pt>
                <c:pt idx="29">
                  <c:v>0.95</c:v>
                </c:pt>
                <c:pt idx="30">
                  <c:v>0.47357454063269561</c:v>
                </c:pt>
                <c:pt idx="31">
                  <c:v>0.40040040040040037</c:v>
                </c:pt>
                <c:pt idx="32">
                  <c:v>0.53333333333333333</c:v>
                </c:pt>
                <c:pt idx="33">
                  <c:v>0.53333333333333333</c:v>
                </c:pt>
                <c:pt idx="34">
                  <c:v>0.30909090909090908</c:v>
                </c:pt>
                <c:pt idx="35">
                  <c:v>0.20004445432318296</c:v>
                </c:pt>
                <c:pt idx="36">
                  <c:v>0.4</c:v>
                </c:pt>
                <c:pt idx="37">
                  <c:v>0.91545503500269254</c:v>
                </c:pt>
                <c:pt idx="38">
                  <c:v>0</c:v>
                </c:pt>
                <c:pt idx="39">
                  <c:v>1.7785682525566917</c:v>
                </c:pt>
                <c:pt idx="40">
                  <c:v>0.52323791935980313</c:v>
                </c:pt>
                <c:pt idx="41">
                  <c:v>0.56521739130434767</c:v>
                </c:pt>
                <c:pt idx="42">
                  <c:v>1.1724137931034482</c:v>
                </c:pt>
                <c:pt idx="43">
                  <c:v>1.8571428571428572</c:v>
                </c:pt>
                <c:pt idx="44">
                  <c:v>1.9024390243902438</c:v>
                </c:pt>
                <c:pt idx="45">
                  <c:v>2.5344827586206895</c:v>
                </c:pt>
                <c:pt idx="46">
                  <c:v>0.7710280373831776</c:v>
                </c:pt>
                <c:pt idx="47">
                  <c:v>0.30308770600492518</c:v>
                </c:pt>
                <c:pt idx="48">
                  <c:v>0.22632311977715874</c:v>
                </c:pt>
                <c:pt idx="49">
                  <c:v>0.13262599469496023</c:v>
                </c:pt>
                <c:pt idx="50">
                  <c:v>1.05</c:v>
                </c:pt>
                <c:pt idx="51">
                  <c:v>0.42339243186028053</c:v>
                </c:pt>
                <c:pt idx="52">
                  <c:v>0.28079132099553289</c:v>
                </c:pt>
                <c:pt idx="53">
                  <c:v>0.50769230769230766</c:v>
                </c:pt>
                <c:pt idx="54">
                  <c:v>0.7815956348621147</c:v>
                </c:pt>
                <c:pt idx="55">
                  <c:v>0.70909090909090911</c:v>
                </c:pt>
                <c:pt idx="56">
                  <c:v>0.9</c:v>
                </c:pt>
                <c:pt idx="57">
                  <c:v>0.95</c:v>
                </c:pt>
                <c:pt idx="58">
                  <c:v>0</c:v>
                </c:pt>
                <c:pt idx="59">
                  <c:v>0.40040040040040037</c:v>
                </c:pt>
                <c:pt idx="60">
                  <c:v>0.36</c:v>
                </c:pt>
                <c:pt idx="61">
                  <c:v>0.44210526315789472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55-4ADC-9325-B27810E86903}"/>
            </c:ext>
          </c:extLst>
        </c:ser>
        <c:ser>
          <c:idx val="1"/>
          <c:order val="1"/>
          <c:tx>
            <c:strRef>
              <c:f>'Year - ROI'!$B$1</c:f>
              <c:strCache>
                <c:ptCount val="1"/>
                <c:pt idx="0">
                  <c:v>ROI 2022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ROI'!$B$2:$B$63</c:f>
              <c:numCache>
                <c:formatCode>General</c:formatCode>
                <c:ptCount val="62"/>
                <c:pt idx="0">
                  <c:v>2.5963808025177024</c:v>
                </c:pt>
                <c:pt idx="1">
                  <c:v>0.79426578845408757</c:v>
                </c:pt>
                <c:pt idx="2">
                  <c:v>0</c:v>
                </c:pt>
                <c:pt idx="3">
                  <c:v>0.55360767669311683</c:v>
                </c:pt>
                <c:pt idx="4">
                  <c:v>1.7</c:v>
                </c:pt>
                <c:pt idx="5">
                  <c:v>0.36</c:v>
                </c:pt>
                <c:pt idx="6">
                  <c:v>0.93263111696291423</c:v>
                </c:pt>
                <c:pt idx="7">
                  <c:v>0.78832803859277567</c:v>
                </c:pt>
                <c:pt idx="8">
                  <c:v>0.65454545454545454</c:v>
                </c:pt>
                <c:pt idx="9">
                  <c:v>0.67284960901982183</c:v>
                </c:pt>
                <c:pt idx="10">
                  <c:v>0.9</c:v>
                </c:pt>
                <c:pt idx="11">
                  <c:v>0.43552357508047718</c:v>
                </c:pt>
                <c:pt idx="12">
                  <c:v>0.34596090641757482</c:v>
                </c:pt>
                <c:pt idx="13">
                  <c:v>0.39823008849557523</c:v>
                </c:pt>
                <c:pt idx="14">
                  <c:v>0</c:v>
                </c:pt>
                <c:pt idx="15">
                  <c:v>0.3</c:v>
                </c:pt>
                <c:pt idx="16">
                  <c:v>0</c:v>
                </c:pt>
                <c:pt idx="17">
                  <c:v>2.7031665665493865</c:v>
                </c:pt>
                <c:pt idx="18">
                  <c:v>0.63636363636363635</c:v>
                </c:pt>
                <c:pt idx="19">
                  <c:v>1.3142857142857143</c:v>
                </c:pt>
                <c:pt idx="20">
                  <c:v>0.66666666666666663</c:v>
                </c:pt>
                <c:pt idx="21">
                  <c:v>1</c:v>
                </c:pt>
                <c:pt idx="22">
                  <c:v>1.2670890296765589</c:v>
                </c:pt>
                <c:pt idx="23">
                  <c:v>1.5883925162275678</c:v>
                </c:pt>
                <c:pt idx="24">
                  <c:v>0</c:v>
                </c:pt>
                <c:pt idx="25">
                  <c:v>0.43644298963447903</c:v>
                </c:pt>
                <c:pt idx="26">
                  <c:v>1.7005668556185396</c:v>
                </c:pt>
                <c:pt idx="27">
                  <c:v>0</c:v>
                </c:pt>
                <c:pt idx="28">
                  <c:v>0.95011876484560565</c:v>
                </c:pt>
                <c:pt idx="29">
                  <c:v>0.95</c:v>
                </c:pt>
                <c:pt idx="30">
                  <c:v>0.47357454063269561</c:v>
                </c:pt>
                <c:pt idx="31">
                  <c:v>0.40040040040040037</c:v>
                </c:pt>
                <c:pt idx="32">
                  <c:v>0.53333333333333333</c:v>
                </c:pt>
                <c:pt idx="33">
                  <c:v>0.53333333333333333</c:v>
                </c:pt>
                <c:pt idx="34">
                  <c:v>0.30909090909090908</c:v>
                </c:pt>
                <c:pt idx="35">
                  <c:v>0.20004445432318296</c:v>
                </c:pt>
                <c:pt idx="36">
                  <c:v>0.4</c:v>
                </c:pt>
                <c:pt idx="37">
                  <c:v>0.91545503500269254</c:v>
                </c:pt>
                <c:pt idx="38">
                  <c:v>0</c:v>
                </c:pt>
                <c:pt idx="39">
                  <c:v>1.7785682525566917</c:v>
                </c:pt>
                <c:pt idx="40">
                  <c:v>0.52323791935980313</c:v>
                </c:pt>
                <c:pt idx="41">
                  <c:v>0.56521739130434767</c:v>
                </c:pt>
                <c:pt idx="42">
                  <c:v>1.1724137931034482</c:v>
                </c:pt>
                <c:pt idx="43">
                  <c:v>1.8571428571428572</c:v>
                </c:pt>
                <c:pt idx="44">
                  <c:v>1.9024390243902438</c:v>
                </c:pt>
                <c:pt idx="45">
                  <c:v>2.5344827586206895</c:v>
                </c:pt>
                <c:pt idx="46">
                  <c:v>0.7710280373831776</c:v>
                </c:pt>
                <c:pt idx="47">
                  <c:v>0.30308770600492518</c:v>
                </c:pt>
                <c:pt idx="48">
                  <c:v>0.22632311977715874</c:v>
                </c:pt>
                <c:pt idx="49">
                  <c:v>0.13262599469496023</c:v>
                </c:pt>
                <c:pt idx="50">
                  <c:v>1.05</c:v>
                </c:pt>
                <c:pt idx="51">
                  <c:v>0.42339243186028053</c:v>
                </c:pt>
                <c:pt idx="52">
                  <c:v>0.28079132099553289</c:v>
                </c:pt>
                <c:pt idx="53">
                  <c:v>0.50769230769230766</c:v>
                </c:pt>
                <c:pt idx="54">
                  <c:v>0.7815956348621147</c:v>
                </c:pt>
                <c:pt idx="55">
                  <c:v>0.70909090909090911</c:v>
                </c:pt>
                <c:pt idx="56">
                  <c:v>0.9</c:v>
                </c:pt>
                <c:pt idx="57">
                  <c:v>0.95</c:v>
                </c:pt>
                <c:pt idx="58">
                  <c:v>0</c:v>
                </c:pt>
                <c:pt idx="59">
                  <c:v>0.40040040040040037</c:v>
                </c:pt>
                <c:pt idx="60">
                  <c:v>0.36</c:v>
                </c:pt>
                <c:pt idx="61">
                  <c:v>0.44210526315789472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55-4ADC-9325-B27810E86903}"/>
            </c:ext>
          </c:extLst>
        </c:ser>
        <c:ser>
          <c:idx val="2"/>
          <c:order val="2"/>
          <c:tx>
            <c:strRef>
              <c:f>'Year - ROI'!$C$1</c:f>
              <c:strCache>
                <c:ptCount val="1"/>
                <c:pt idx="0">
                  <c:v>ROI 2023</c:v>
                </c:pt>
              </c:strCache>
            </c:strRef>
          </c:tx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ROI'!$C$2:$C$63</c:f>
              <c:numCache>
                <c:formatCode>General</c:formatCode>
                <c:ptCount val="62"/>
                <c:pt idx="0">
                  <c:v>6.45</c:v>
                </c:pt>
                <c:pt idx="1">
                  <c:v>2.8000000000000003</c:v>
                </c:pt>
                <c:pt idx="2">
                  <c:v>1</c:v>
                </c:pt>
                <c:pt idx="3">
                  <c:v>0</c:v>
                </c:pt>
                <c:pt idx="4">
                  <c:v>2.3458810692853249</c:v>
                </c:pt>
                <c:pt idx="5">
                  <c:v>0.50050050050050054</c:v>
                </c:pt>
                <c:pt idx="6">
                  <c:v>2.6</c:v>
                </c:pt>
                <c:pt idx="7">
                  <c:v>4.2857142857142856</c:v>
                </c:pt>
                <c:pt idx="8">
                  <c:v>3.8347132701187068</c:v>
                </c:pt>
                <c:pt idx="9">
                  <c:v>5.2017339113037684</c:v>
                </c:pt>
                <c:pt idx="10">
                  <c:v>2.7142857142857144</c:v>
                </c:pt>
                <c:pt idx="11">
                  <c:v>3.45</c:v>
                </c:pt>
                <c:pt idx="12">
                  <c:v>1.5</c:v>
                </c:pt>
                <c:pt idx="13">
                  <c:v>2.4666666666666668</c:v>
                </c:pt>
                <c:pt idx="14">
                  <c:v>2</c:v>
                </c:pt>
                <c:pt idx="15">
                  <c:v>1.24</c:v>
                </c:pt>
                <c:pt idx="16">
                  <c:v>0.55000000000000004</c:v>
                </c:pt>
                <c:pt idx="17">
                  <c:v>1.0285714285714285</c:v>
                </c:pt>
                <c:pt idx="18">
                  <c:v>0</c:v>
                </c:pt>
                <c:pt idx="19">
                  <c:v>2.0571428571428569</c:v>
                </c:pt>
                <c:pt idx="20">
                  <c:v>1.05</c:v>
                </c:pt>
                <c:pt idx="21">
                  <c:v>1.5275504637206767</c:v>
                </c:pt>
                <c:pt idx="22">
                  <c:v>2.0185488270594658</c:v>
                </c:pt>
                <c:pt idx="23">
                  <c:v>5.28</c:v>
                </c:pt>
                <c:pt idx="24">
                  <c:v>1.4911802145844701</c:v>
                </c:pt>
                <c:pt idx="25">
                  <c:v>1.56</c:v>
                </c:pt>
                <c:pt idx="26">
                  <c:v>2.4508169389796599</c:v>
                </c:pt>
                <c:pt idx="27">
                  <c:v>0.4</c:v>
                </c:pt>
                <c:pt idx="28">
                  <c:v>15.466666666666665</c:v>
                </c:pt>
                <c:pt idx="29">
                  <c:v>1.3602720544108824</c:v>
                </c:pt>
                <c:pt idx="30">
                  <c:v>1.0010010010010011</c:v>
                </c:pt>
                <c:pt idx="31">
                  <c:v>0.60060060060060061</c:v>
                </c:pt>
                <c:pt idx="32">
                  <c:v>0.8</c:v>
                </c:pt>
                <c:pt idx="33">
                  <c:v>0.8666666666666667</c:v>
                </c:pt>
                <c:pt idx="34">
                  <c:v>1.7333333333333334</c:v>
                </c:pt>
                <c:pt idx="35">
                  <c:v>1.2012012012012012</c:v>
                </c:pt>
                <c:pt idx="36">
                  <c:v>1.4666666666666666</c:v>
                </c:pt>
                <c:pt idx="37">
                  <c:v>1.9751975197519751</c:v>
                </c:pt>
                <c:pt idx="38">
                  <c:v>0.48</c:v>
                </c:pt>
                <c:pt idx="39">
                  <c:v>4.0680226742247418</c:v>
                </c:pt>
                <c:pt idx="40">
                  <c:v>2.36</c:v>
                </c:pt>
                <c:pt idx="41">
                  <c:v>1.4438549186744369</c:v>
                </c:pt>
                <c:pt idx="42">
                  <c:v>1.0826076723935045</c:v>
                </c:pt>
                <c:pt idx="43">
                  <c:v>4.5348449483161053</c:v>
                </c:pt>
                <c:pt idx="44">
                  <c:v>6.8</c:v>
                </c:pt>
                <c:pt idx="45">
                  <c:v>5.9</c:v>
                </c:pt>
                <c:pt idx="46">
                  <c:v>1.5</c:v>
                </c:pt>
                <c:pt idx="47">
                  <c:v>1.4</c:v>
                </c:pt>
                <c:pt idx="48">
                  <c:v>0.90090090090090091</c:v>
                </c:pt>
                <c:pt idx="49">
                  <c:v>0.25025025025025027</c:v>
                </c:pt>
                <c:pt idx="50">
                  <c:v>1.4366248408801601</c:v>
                </c:pt>
                <c:pt idx="51">
                  <c:v>1.0571428571428572</c:v>
                </c:pt>
                <c:pt idx="52">
                  <c:v>0</c:v>
                </c:pt>
                <c:pt idx="53">
                  <c:v>2.16</c:v>
                </c:pt>
                <c:pt idx="54">
                  <c:v>3.1010336778926311</c:v>
                </c:pt>
                <c:pt idx="55">
                  <c:v>2.5008336112037348</c:v>
                </c:pt>
                <c:pt idx="56">
                  <c:v>1.3333333333333333</c:v>
                </c:pt>
                <c:pt idx="57">
                  <c:v>1.3750000000000002</c:v>
                </c:pt>
                <c:pt idx="58">
                  <c:v>0.66681484774394317</c:v>
                </c:pt>
                <c:pt idx="59">
                  <c:v>0.60060060060060061</c:v>
                </c:pt>
                <c:pt idx="60">
                  <c:v>1.1573081868838406</c:v>
                </c:pt>
                <c:pt idx="61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5-4ADC-9325-B27810E8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723468"/>
        <c:axId val="917517694"/>
      </c:barChart>
      <c:catAx>
        <c:axId val="77472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7517694"/>
        <c:crosses val="autoZero"/>
        <c:auto val="1"/>
        <c:lblAlgn val="ctr"/>
        <c:lblOffset val="100"/>
        <c:noMultiLvlLbl val="1"/>
      </c:catAx>
      <c:valAx>
        <c:axId val="917517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4723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(ian - mar), Q2 (apr - iun), Q3 (iul - sep), Q4 (oct - dec) și 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'2023'!$B$38</c:f>
              <c:strCache>
                <c:ptCount val="1"/>
                <c:pt idx="0">
                  <c:v>Q1 (ian - mar)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'2023'!$B$39:$B$100</c:f>
              <c:numCache>
                <c:formatCode>_(* #,##0.00_)\ [$lei-418]_);\(#,##0.00\)\ [$lei-418]_);_(* "-"??_)\ [$lei-418]_);_(@</c:formatCode>
                <c:ptCount val="62"/>
                <c:pt idx="0">
                  <c:v>2.58</c:v>
                </c:pt>
                <c:pt idx="1">
                  <c:v>0.56000000000000005</c:v>
                </c:pt>
                <c:pt idx="2">
                  <c:v>0.04</c:v>
                </c:pt>
                <c:pt idx="3" formatCode="General">
                  <c:v>0</c:v>
                </c:pt>
                <c:pt idx="4">
                  <c:v>1.29</c:v>
                </c:pt>
                <c:pt idx="5">
                  <c:v>0.1</c:v>
                </c:pt>
                <c:pt idx="6" formatCode="General">
                  <c:v>0</c:v>
                </c:pt>
                <c:pt idx="7">
                  <c:v>1.5</c:v>
                </c:pt>
                <c:pt idx="8">
                  <c:v>0.74</c:v>
                </c:pt>
                <c:pt idx="9">
                  <c:v>0.62</c:v>
                </c:pt>
                <c:pt idx="10">
                  <c:v>0.95</c:v>
                </c:pt>
                <c:pt idx="11">
                  <c:v>0.69</c:v>
                </c:pt>
                <c:pt idx="12">
                  <c:v>0.3</c:v>
                </c:pt>
                <c:pt idx="13">
                  <c:v>0.37</c:v>
                </c:pt>
                <c:pt idx="14">
                  <c:v>0.15</c:v>
                </c:pt>
                <c:pt idx="15">
                  <c:v>0.31</c:v>
                </c:pt>
                <c:pt idx="16">
                  <c:v>0.11</c:v>
                </c:pt>
                <c:pt idx="17">
                  <c:v>0.36</c:v>
                </c:pt>
                <c:pt idx="18">
                  <c:v>0.74</c:v>
                </c:pt>
                <c:pt idx="19">
                  <c:v>1.44</c:v>
                </c:pt>
                <c:pt idx="20">
                  <c:v>0.42</c:v>
                </c:pt>
                <c:pt idx="21">
                  <c:v>0.84</c:v>
                </c:pt>
                <c:pt idx="22">
                  <c:v>1.1100000000000001</c:v>
                </c:pt>
                <c:pt idx="23">
                  <c:v>1.32</c:v>
                </c:pt>
                <c:pt idx="24">
                  <c:v>0.82</c:v>
                </c:pt>
                <c:pt idx="25">
                  <c:v>0.39</c:v>
                </c:pt>
                <c:pt idx="26">
                  <c:v>1.47</c:v>
                </c:pt>
                <c:pt idx="27">
                  <c:v>0.08</c:v>
                </c:pt>
                <c:pt idx="28">
                  <c:v>2.3199999999999998</c:v>
                </c:pt>
                <c:pt idx="29">
                  <c:v>0.68</c:v>
                </c:pt>
                <c:pt idx="30">
                  <c:v>0.2</c:v>
                </c:pt>
                <c:pt idx="31">
                  <c:v>0.12</c:v>
                </c:pt>
                <c:pt idx="32">
                  <c:v>0.24</c:v>
                </c:pt>
                <c:pt idx="33">
                  <c:v>0.26</c:v>
                </c:pt>
                <c:pt idx="34">
                  <c:v>0.26</c:v>
                </c:pt>
                <c:pt idx="35">
                  <c:v>0.12</c:v>
                </c:pt>
                <c:pt idx="36">
                  <c:v>0.22</c:v>
                </c:pt>
                <c:pt idx="37">
                  <c:v>3.95</c:v>
                </c:pt>
                <c:pt idx="38">
                  <c:v>0.12</c:v>
                </c:pt>
                <c:pt idx="39">
                  <c:v>1.22</c:v>
                </c:pt>
                <c:pt idx="40">
                  <c:v>0.59</c:v>
                </c:pt>
                <c:pt idx="41">
                  <c:v>1.66</c:v>
                </c:pt>
                <c:pt idx="42">
                  <c:v>0.92</c:v>
                </c:pt>
                <c:pt idx="43">
                  <c:v>1.36</c:v>
                </c:pt>
                <c:pt idx="44">
                  <c:v>2.38</c:v>
                </c:pt>
                <c:pt idx="45">
                  <c:v>2.36</c:v>
                </c:pt>
                <c:pt idx="46">
                  <c:v>0.3</c:v>
                </c:pt>
                <c:pt idx="47">
                  <c:v>0.21</c:v>
                </c:pt>
                <c:pt idx="48">
                  <c:v>0.18</c:v>
                </c:pt>
                <c:pt idx="49">
                  <c:v>0.05</c:v>
                </c:pt>
                <c:pt idx="50">
                  <c:v>0.79</c:v>
                </c:pt>
                <c:pt idx="51">
                  <c:v>0.37</c:v>
                </c:pt>
                <c:pt idx="52">
                  <c:v>0.41</c:v>
                </c:pt>
                <c:pt idx="53">
                  <c:v>0.54</c:v>
                </c:pt>
                <c:pt idx="54">
                  <c:v>0.93</c:v>
                </c:pt>
                <c:pt idx="55">
                  <c:v>0.75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0.3</c:v>
                </c:pt>
                <c:pt idx="59">
                  <c:v>0.12</c:v>
                </c:pt>
                <c:pt idx="60">
                  <c:v>0.81</c:v>
                </c:pt>
                <c:pt idx="6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8E-48DD-B92F-9F47F118BCED}"/>
            </c:ext>
          </c:extLst>
        </c:ser>
        <c:ser>
          <c:idx val="1"/>
          <c:order val="1"/>
          <c:tx>
            <c:strRef>
              <c:f>'2023'!$C$38</c:f>
              <c:strCache>
                <c:ptCount val="1"/>
                <c:pt idx="0">
                  <c:v>Q2 (apr - iun)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'2023'!$C$39:$C$100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0.94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8E-48DD-B92F-9F47F118BCED}"/>
            </c:ext>
          </c:extLst>
        </c:ser>
        <c:ser>
          <c:idx val="2"/>
          <c:order val="2"/>
          <c:tx>
            <c:strRef>
              <c:f>'2023'!$D$38</c:f>
              <c:strCache>
                <c:ptCount val="1"/>
                <c:pt idx="0">
                  <c:v>Q3 (iul - sep)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'2023'!$D$39:$D$100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8E-48DD-B92F-9F47F118BCED}"/>
            </c:ext>
          </c:extLst>
        </c:ser>
        <c:ser>
          <c:idx val="3"/>
          <c:order val="3"/>
          <c:tx>
            <c:strRef>
              <c:f>'2023'!$E$38</c:f>
              <c:strCache>
                <c:ptCount val="1"/>
                <c:pt idx="0">
                  <c:v>Q4 (oct - dec)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'2023'!$E$39:$E$100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28E-48DD-B92F-9F47F118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297767"/>
        <c:axId val="1005800876"/>
      </c:barChart>
      <c:catAx>
        <c:axId val="1024297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5800876"/>
        <c:crosses val="autoZero"/>
        <c:auto val="1"/>
        <c:lblAlgn val="ctr"/>
        <c:lblOffset val="100"/>
        <c:noMultiLvlLbl val="1"/>
      </c:catAx>
      <c:valAx>
        <c:axId val="1005800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\ [$lei-418]_);\(#,##0.00\)\ [$lei-418]_);_(* &quot;-&quot;??_)\ [$lei-418]_);_(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42977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'2023'!$F$38</c:f>
              <c:strCache>
                <c:ptCount val="1"/>
                <c:pt idx="0">
                  <c:v>TOTAL  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'2023'!$F$39:$F$100</c:f>
              <c:numCache>
                <c:formatCode>_(* #,##0.00_)\ [$lei-418]_);\(#,##0.00\)\ [$lei-418]_);_(* "-"??_)\ [$lei-418]_);_(@</c:formatCode>
                <c:ptCount val="62"/>
                <c:pt idx="0">
                  <c:v>2.58</c:v>
                </c:pt>
                <c:pt idx="1">
                  <c:v>0.56000000000000005</c:v>
                </c:pt>
                <c:pt idx="2">
                  <c:v>0.15</c:v>
                </c:pt>
                <c:pt idx="3">
                  <c:v>0</c:v>
                </c:pt>
                <c:pt idx="4">
                  <c:v>1.29</c:v>
                </c:pt>
                <c:pt idx="5">
                  <c:v>0.1</c:v>
                </c:pt>
                <c:pt idx="6">
                  <c:v>0.65</c:v>
                </c:pt>
                <c:pt idx="7">
                  <c:v>1.5</c:v>
                </c:pt>
                <c:pt idx="8">
                  <c:v>0.74</c:v>
                </c:pt>
                <c:pt idx="9">
                  <c:v>1.56</c:v>
                </c:pt>
                <c:pt idx="10">
                  <c:v>0.95</c:v>
                </c:pt>
                <c:pt idx="11">
                  <c:v>0.69</c:v>
                </c:pt>
                <c:pt idx="12">
                  <c:v>0.3</c:v>
                </c:pt>
                <c:pt idx="13">
                  <c:v>0.37</c:v>
                </c:pt>
                <c:pt idx="14">
                  <c:v>0.5</c:v>
                </c:pt>
                <c:pt idx="15">
                  <c:v>0.31</c:v>
                </c:pt>
                <c:pt idx="16">
                  <c:v>0.11</c:v>
                </c:pt>
                <c:pt idx="17">
                  <c:v>0.36</c:v>
                </c:pt>
                <c:pt idx="18">
                  <c:v>0.74</c:v>
                </c:pt>
                <c:pt idx="19">
                  <c:v>1.44</c:v>
                </c:pt>
                <c:pt idx="20">
                  <c:v>0.42</c:v>
                </c:pt>
                <c:pt idx="21">
                  <c:v>0.84</c:v>
                </c:pt>
                <c:pt idx="22">
                  <c:v>1.1100000000000001</c:v>
                </c:pt>
                <c:pt idx="23">
                  <c:v>1.32</c:v>
                </c:pt>
                <c:pt idx="24">
                  <c:v>0.82</c:v>
                </c:pt>
                <c:pt idx="25">
                  <c:v>0.39</c:v>
                </c:pt>
                <c:pt idx="26">
                  <c:v>1.47</c:v>
                </c:pt>
                <c:pt idx="27">
                  <c:v>0.08</c:v>
                </c:pt>
                <c:pt idx="28">
                  <c:v>2.3199999999999998</c:v>
                </c:pt>
                <c:pt idx="29">
                  <c:v>0.68</c:v>
                </c:pt>
                <c:pt idx="30">
                  <c:v>0.2</c:v>
                </c:pt>
                <c:pt idx="31">
                  <c:v>0.12</c:v>
                </c:pt>
                <c:pt idx="32">
                  <c:v>0.24</c:v>
                </c:pt>
                <c:pt idx="33">
                  <c:v>0.26</c:v>
                </c:pt>
                <c:pt idx="34">
                  <c:v>0.26</c:v>
                </c:pt>
                <c:pt idx="35">
                  <c:v>0.12</c:v>
                </c:pt>
                <c:pt idx="36">
                  <c:v>0.22</c:v>
                </c:pt>
                <c:pt idx="37">
                  <c:v>3.95</c:v>
                </c:pt>
                <c:pt idx="38">
                  <c:v>0.12</c:v>
                </c:pt>
                <c:pt idx="39">
                  <c:v>1.22</c:v>
                </c:pt>
                <c:pt idx="40">
                  <c:v>0.59</c:v>
                </c:pt>
                <c:pt idx="41">
                  <c:v>1.66</c:v>
                </c:pt>
                <c:pt idx="42">
                  <c:v>0.92</c:v>
                </c:pt>
                <c:pt idx="43">
                  <c:v>1.36</c:v>
                </c:pt>
                <c:pt idx="44">
                  <c:v>2.38</c:v>
                </c:pt>
                <c:pt idx="45">
                  <c:v>2.36</c:v>
                </c:pt>
                <c:pt idx="46">
                  <c:v>0.3</c:v>
                </c:pt>
                <c:pt idx="47">
                  <c:v>0.21</c:v>
                </c:pt>
                <c:pt idx="48">
                  <c:v>0.18</c:v>
                </c:pt>
                <c:pt idx="49">
                  <c:v>0.05</c:v>
                </c:pt>
                <c:pt idx="50">
                  <c:v>0.79</c:v>
                </c:pt>
                <c:pt idx="51">
                  <c:v>0.37</c:v>
                </c:pt>
                <c:pt idx="52">
                  <c:v>0.41</c:v>
                </c:pt>
                <c:pt idx="53">
                  <c:v>0.54</c:v>
                </c:pt>
                <c:pt idx="54">
                  <c:v>0.93</c:v>
                </c:pt>
                <c:pt idx="55">
                  <c:v>0.75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0.3</c:v>
                </c:pt>
                <c:pt idx="59">
                  <c:v>0.12</c:v>
                </c:pt>
                <c:pt idx="60">
                  <c:v>0.81</c:v>
                </c:pt>
                <c:pt idx="6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0C-42AC-9550-B6C4B9DC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32046"/>
        <c:axId val="14967564"/>
      </c:barChart>
      <c:catAx>
        <c:axId val="698632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7564"/>
        <c:crosses val="autoZero"/>
        <c:auto val="1"/>
        <c:lblAlgn val="ctr"/>
        <c:lblOffset val="100"/>
        <c:noMultiLvlLbl val="1"/>
      </c:catAx>
      <c:valAx>
        <c:axId val="14967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 YEAR</a:t>
                </a:r>
              </a:p>
            </c:rich>
          </c:tx>
          <c:overlay val="0"/>
        </c:title>
        <c:numFmt formatCode="_(* #,##0.00_)\ [$lei-418]_);\(#,##0.00\)\ [$lei-418]_);_(* &quot;-&quot;??_)\ [$lei-418]_);_(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632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(ian - mar), Q2 (apr - iun), Q3 (iul - sep) și Q4 (oct - dec)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'2022'!$B$36</c:f>
              <c:strCache>
                <c:ptCount val="1"/>
                <c:pt idx="0">
                  <c:v>Q1 (ian - mar)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'2022'!$B$37:$B$98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FC-416E-BAF9-481848D45465}"/>
            </c:ext>
          </c:extLst>
        </c:ser>
        <c:ser>
          <c:idx val="1"/>
          <c:order val="1"/>
          <c:tx>
            <c:strRef>
              <c:f>'2022'!$C$36</c:f>
              <c:strCache>
                <c:ptCount val="1"/>
                <c:pt idx="0">
                  <c:v>Q2 (apr - iun)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'2022'!$C$37:$C$98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FC-416E-BAF9-481848D45465}"/>
            </c:ext>
          </c:extLst>
        </c:ser>
        <c:ser>
          <c:idx val="2"/>
          <c:order val="2"/>
          <c:tx>
            <c:strRef>
              <c:f>'2022'!$D$36</c:f>
              <c:strCache>
                <c:ptCount val="1"/>
                <c:pt idx="0">
                  <c:v>Q3 (iul - sep)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'2022'!$D$37:$D$98</c:f>
              <c:numCache>
                <c:formatCode>_(* #,##0.00_)\ [$lei-418]_);\(#,##0.00\)\ [$lei-418]_);_(* "-"??_)\ [$lei-418]_);_(@</c:formatCode>
                <c:ptCount val="62"/>
                <c:pt idx="0">
                  <c:v>0.64</c:v>
                </c:pt>
                <c:pt idx="1">
                  <c:v>0.37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0.15</c:v>
                </c:pt>
                <c:pt idx="5">
                  <c:v>0.03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0.23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1.42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0.99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0.11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0.05</c:v>
                </c:pt>
                <c:pt idx="38" formatCode="General">
                  <c:v>0</c:v>
                </c:pt>
                <c:pt idx="39">
                  <c:v>0.26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>
                  <c:v>0.32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0.13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0FC-416E-BAF9-481848D45465}"/>
            </c:ext>
          </c:extLst>
        </c:ser>
        <c:ser>
          <c:idx val="3"/>
          <c:order val="3"/>
          <c:tx>
            <c:strRef>
              <c:f>'2022'!$E$36</c:f>
              <c:strCache>
                <c:ptCount val="1"/>
                <c:pt idx="0">
                  <c:v>Q4 (oct - dec)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'2022'!$E$37:$E$98</c:f>
              <c:numCache>
                <c:formatCode>_(* #,##0.00_)\ [$lei-418]_);\(#,##0.00\)\ [$lei-418]_);_(* "-"??_)\ [$lei-418]_);_(@</c:formatCode>
                <c:ptCount val="62"/>
                <c:pt idx="0">
                  <c:v>1.67</c:v>
                </c:pt>
                <c:pt idx="1">
                  <c:v>0.45</c:v>
                </c:pt>
                <c:pt idx="2" formatCode="General">
                  <c:v>0</c:v>
                </c:pt>
                <c:pt idx="3">
                  <c:v>0.3</c:v>
                </c:pt>
                <c:pt idx="4">
                  <c:v>0.53</c:v>
                </c:pt>
                <c:pt idx="5">
                  <c:v>0.06</c:v>
                </c:pt>
                <c:pt idx="6">
                  <c:v>0.85</c:v>
                </c:pt>
                <c:pt idx="7">
                  <c:v>0.67</c:v>
                </c:pt>
                <c:pt idx="8">
                  <c:v>0.36</c:v>
                </c:pt>
                <c:pt idx="9">
                  <c:v>0.37</c:v>
                </c:pt>
                <c:pt idx="10">
                  <c:v>0.54</c:v>
                </c:pt>
                <c:pt idx="11" formatCode="General">
                  <c:v>0</c:v>
                </c:pt>
                <c:pt idx="12">
                  <c:v>0.2</c:v>
                </c:pt>
                <c:pt idx="13">
                  <c:v>0.27</c:v>
                </c:pt>
                <c:pt idx="14" formatCode="General">
                  <c:v>0</c:v>
                </c:pt>
                <c:pt idx="15">
                  <c:v>0.12</c:v>
                </c:pt>
                <c:pt idx="16" formatCode="General">
                  <c:v>0</c:v>
                </c:pt>
                <c:pt idx="17">
                  <c:v>1.73</c:v>
                </c:pt>
                <c:pt idx="18">
                  <c:v>0.35</c:v>
                </c:pt>
                <c:pt idx="19">
                  <c:v>0.46</c:v>
                </c:pt>
                <c:pt idx="20">
                  <c:v>0.1</c:v>
                </c:pt>
                <c:pt idx="21">
                  <c:v>0.2</c:v>
                </c:pt>
                <c:pt idx="22">
                  <c:v>0.38</c:v>
                </c:pt>
                <c:pt idx="23">
                  <c:v>1.0900000000000001</c:v>
                </c:pt>
                <c:pt idx="24" formatCode="General">
                  <c:v>0</c:v>
                </c:pt>
                <c:pt idx="25">
                  <c:v>0.24</c:v>
                </c:pt>
                <c:pt idx="26">
                  <c:v>0.51</c:v>
                </c:pt>
                <c:pt idx="27" formatCode="General">
                  <c:v>0</c:v>
                </c:pt>
                <c:pt idx="28">
                  <c:v>0.76</c:v>
                </c:pt>
                <c:pt idx="29">
                  <c:v>0.19</c:v>
                </c:pt>
                <c:pt idx="30">
                  <c:v>0.14000000000000001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0.17</c:v>
                </c:pt>
                <c:pt idx="35">
                  <c:v>0.09</c:v>
                </c:pt>
                <c:pt idx="36">
                  <c:v>0.16</c:v>
                </c:pt>
                <c:pt idx="37">
                  <c:v>1.1400000000000001</c:v>
                </c:pt>
                <c:pt idx="38" formatCode="General">
                  <c:v>0</c:v>
                </c:pt>
                <c:pt idx="39">
                  <c:v>0.54</c:v>
                </c:pt>
                <c:pt idx="40">
                  <c:v>0.34</c:v>
                </c:pt>
                <c:pt idx="41">
                  <c:v>0.64999999999999991</c:v>
                </c:pt>
                <c:pt idx="42">
                  <c:v>0.34</c:v>
                </c:pt>
                <c:pt idx="43">
                  <c:v>0.98</c:v>
                </c:pt>
                <c:pt idx="44">
                  <c:v>1.56</c:v>
                </c:pt>
                <c:pt idx="45">
                  <c:v>1.47</c:v>
                </c:pt>
                <c:pt idx="46">
                  <c:v>0.2</c:v>
                </c:pt>
                <c:pt idx="47">
                  <c:v>0.16</c:v>
                </c:pt>
                <c:pt idx="48">
                  <c:v>0.13</c:v>
                </c:pt>
                <c:pt idx="49">
                  <c:v>0.02</c:v>
                </c:pt>
                <c:pt idx="50">
                  <c:v>0.21</c:v>
                </c:pt>
                <c:pt idx="51">
                  <c:v>0.16</c:v>
                </c:pt>
                <c:pt idx="52">
                  <c:v>0.22</c:v>
                </c:pt>
                <c:pt idx="53">
                  <c:v>0.33</c:v>
                </c:pt>
                <c:pt idx="54">
                  <c:v>0.53</c:v>
                </c:pt>
                <c:pt idx="55">
                  <c:v>0.39</c:v>
                </c:pt>
                <c:pt idx="56">
                  <c:v>0.18</c:v>
                </c:pt>
                <c:pt idx="57">
                  <c:v>0.19</c:v>
                </c:pt>
                <c:pt idx="58" formatCode="General">
                  <c:v>0</c:v>
                </c:pt>
                <c:pt idx="59">
                  <c:v>0.04</c:v>
                </c:pt>
                <c:pt idx="60">
                  <c:v>0.18</c:v>
                </c:pt>
                <c:pt idx="61">
                  <c:v>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0FC-416E-BAF9-481848D4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417369"/>
        <c:axId val="1298147887"/>
      </c:barChart>
      <c:catAx>
        <c:axId val="93241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8147887"/>
        <c:crosses val="autoZero"/>
        <c:auto val="1"/>
        <c:lblAlgn val="ctr"/>
        <c:lblOffset val="100"/>
        <c:noMultiLvlLbl val="1"/>
      </c:catAx>
      <c:valAx>
        <c:axId val="129814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4173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coloanei 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'2022'!$F$36</c:f>
              <c:strCache>
                <c:ptCount val="1"/>
                <c:pt idx="0">
                  <c:v>TOTAL  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'2022'!$F$37:$F$98</c:f>
              <c:numCache>
                <c:formatCode>General</c:formatCode>
                <c:ptCount val="62"/>
                <c:pt idx="0">
                  <c:v>2.31</c:v>
                </c:pt>
                <c:pt idx="1">
                  <c:v>0.82000000000000006</c:v>
                </c:pt>
                <c:pt idx="2">
                  <c:v>0</c:v>
                </c:pt>
                <c:pt idx="3">
                  <c:v>0.3</c:v>
                </c:pt>
                <c:pt idx="4">
                  <c:v>0.68</c:v>
                </c:pt>
                <c:pt idx="5">
                  <c:v>0.09</c:v>
                </c:pt>
                <c:pt idx="6">
                  <c:v>0.85</c:v>
                </c:pt>
                <c:pt idx="7">
                  <c:v>0.67</c:v>
                </c:pt>
                <c:pt idx="8">
                  <c:v>0.36</c:v>
                </c:pt>
                <c:pt idx="9">
                  <c:v>0.37</c:v>
                </c:pt>
                <c:pt idx="10">
                  <c:v>0.54</c:v>
                </c:pt>
                <c:pt idx="11">
                  <c:v>0.23</c:v>
                </c:pt>
                <c:pt idx="12">
                  <c:v>0.2</c:v>
                </c:pt>
                <c:pt idx="13">
                  <c:v>0.27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3.15</c:v>
                </c:pt>
                <c:pt idx="18">
                  <c:v>0.35</c:v>
                </c:pt>
                <c:pt idx="19">
                  <c:v>0.46</c:v>
                </c:pt>
                <c:pt idx="20">
                  <c:v>0.1</c:v>
                </c:pt>
                <c:pt idx="21">
                  <c:v>0.2</c:v>
                </c:pt>
                <c:pt idx="22">
                  <c:v>0.38</c:v>
                </c:pt>
                <c:pt idx="23">
                  <c:v>2.08</c:v>
                </c:pt>
                <c:pt idx="24">
                  <c:v>0</c:v>
                </c:pt>
                <c:pt idx="25">
                  <c:v>0.24</c:v>
                </c:pt>
                <c:pt idx="26">
                  <c:v>0.51</c:v>
                </c:pt>
                <c:pt idx="27">
                  <c:v>0</c:v>
                </c:pt>
                <c:pt idx="28">
                  <c:v>0.76</c:v>
                </c:pt>
                <c:pt idx="29">
                  <c:v>0.19</c:v>
                </c:pt>
                <c:pt idx="30">
                  <c:v>0.25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0.17</c:v>
                </c:pt>
                <c:pt idx="35">
                  <c:v>0.09</c:v>
                </c:pt>
                <c:pt idx="36">
                  <c:v>0.16</c:v>
                </c:pt>
                <c:pt idx="37">
                  <c:v>1.1900000000000002</c:v>
                </c:pt>
                <c:pt idx="38">
                  <c:v>0</c:v>
                </c:pt>
                <c:pt idx="39">
                  <c:v>0.8</c:v>
                </c:pt>
                <c:pt idx="40">
                  <c:v>0.34</c:v>
                </c:pt>
                <c:pt idx="41">
                  <c:v>0.64999999999999991</c:v>
                </c:pt>
                <c:pt idx="42">
                  <c:v>0.34</c:v>
                </c:pt>
                <c:pt idx="43">
                  <c:v>1.3</c:v>
                </c:pt>
                <c:pt idx="44">
                  <c:v>1.56</c:v>
                </c:pt>
                <c:pt idx="45">
                  <c:v>1.47</c:v>
                </c:pt>
                <c:pt idx="46">
                  <c:v>0.33</c:v>
                </c:pt>
                <c:pt idx="47">
                  <c:v>0.16</c:v>
                </c:pt>
                <c:pt idx="48">
                  <c:v>0.13</c:v>
                </c:pt>
                <c:pt idx="49">
                  <c:v>0.02</c:v>
                </c:pt>
                <c:pt idx="50">
                  <c:v>0.21</c:v>
                </c:pt>
                <c:pt idx="51">
                  <c:v>0.16</c:v>
                </c:pt>
                <c:pt idx="52">
                  <c:v>0.22</c:v>
                </c:pt>
                <c:pt idx="53">
                  <c:v>0.33</c:v>
                </c:pt>
                <c:pt idx="54">
                  <c:v>0.53</c:v>
                </c:pt>
                <c:pt idx="55">
                  <c:v>0.39</c:v>
                </c:pt>
                <c:pt idx="56">
                  <c:v>0.18</c:v>
                </c:pt>
                <c:pt idx="57">
                  <c:v>0.19</c:v>
                </c:pt>
                <c:pt idx="58">
                  <c:v>0</c:v>
                </c:pt>
                <c:pt idx="59">
                  <c:v>0.04</c:v>
                </c:pt>
                <c:pt idx="60">
                  <c:v>0.18</c:v>
                </c:pt>
                <c:pt idx="61">
                  <c:v>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7A5-45B6-B64A-875E002B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32827"/>
        <c:axId val="858512376"/>
      </c:barChart>
      <c:catAx>
        <c:axId val="188183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512376"/>
        <c:crosses val="autoZero"/>
        <c:auto val="1"/>
        <c:lblAlgn val="ctr"/>
        <c:lblOffset val="100"/>
        <c:noMultiLvlLbl val="1"/>
      </c:catAx>
      <c:valAx>
        <c:axId val="85851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8328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</xdr:row>
      <xdr:rowOff>19050</xdr:rowOff>
    </xdr:from>
    <xdr:ext cx="5715000" cy="3419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28575</xdr:colOff>
      <xdr:row>19</xdr:row>
      <xdr:rowOff>9525</xdr:rowOff>
    </xdr:from>
    <xdr:ext cx="5715000" cy="23145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11</xdr:row>
      <xdr:rowOff>190500</xdr:rowOff>
    </xdr:from>
    <xdr:ext cx="3200400" cy="4181475"/>
    <xdr:graphicFrame macro="">
      <xdr:nvGraphicFramePr>
        <xdr:cNvPr id="3" name="Chart 3" title="Diagramă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63</xdr:row>
      <xdr:rowOff>209550</xdr:rowOff>
    </xdr:from>
    <xdr:ext cx="16354425" cy="3552825"/>
    <xdr:graphicFrame macro="">
      <xdr:nvGraphicFramePr>
        <xdr:cNvPr id="4" name="Chart 4" title="Diagramă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62</xdr:row>
      <xdr:rowOff>9525</xdr:rowOff>
    </xdr:from>
    <xdr:ext cx="10172700" cy="4610100"/>
    <xdr:graphicFrame macro="">
      <xdr:nvGraphicFramePr>
        <xdr:cNvPr id="5" name="Chart 5" title="Diagramă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428625</xdr:colOff>
      <xdr:row>37</xdr:row>
      <xdr:rowOff>0</xdr:rowOff>
    </xdr:from>
    <xdr:ext cx="10172700" cy="5133975"/>
    <xdr:graphicFrame macro="">
      <xdr:nvGraphicFramePr>
        <xdr:cNvPr id="6" name="Chart 6" title="Diagramă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60</xdr:row>
      <xdr:rowOff>38100</xdr:rowOff>
    </xdr:from>
    <xdr:ext cx="9486900" cy="4333875"/>
    <xdr:graphicFrame macro="">
      <xdr:nvGraphicFramePr>
        <xdr:cNvPr id="7" name="Chart 7" title="Diagramă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133350</xdr:colOff>
      <xdr:row>35</xdr:row>
      <xdr:rowOff>0</xdr:rowOff>
    </xdr:from>
    <xdr:ext cx="9486900" cy="5210175"/>
    <xdr:graphicFrame macro="">
      <xdr:nvGraphicFramePr>
        <xdr:cNvPr id="8" name="Chart 8" title="Diagramă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10"/>
  <sheetViews>
    <sheetView workbookViewId="0"/>
  </sheetViews>
  <sheetFormatPr defaultColWidth="12.57031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1" t="s">
        <v>0</v>
      </c>
      <c r="J1" s="1" t="s">
        <v>7</v>
      </c>
      <c r="K1" s="1"/>
      <c r="L1" s="1"/>
      <c r="M1" s="1"/>
      <c r="N1" s="1"/>
    </row>
    <row r="2" spans="1:14">
      <c r="A2" s="3">
        <v>2022</v>
      </c>
      <c r="B2" s="4" t="s">
        <v>8</v>
      </c>
      <c r="C2" s="3">
        <f>G2</f>
        <v>742</v>
      </c>
      <c r="D2" s="3">
        <v>4.0999999999999996</v>
      </c>
      <c r="E2" s="5">
        <f>(C2*D2)/100</f>
        <v>30.421999999999997</v>
      </c>
      <c r="F2" s="5">
        <f t="shared" ref="F2:F138" si="0">E2/12</f>
        <v>2.5351666666666666</v>
      </c>
      <c r="G2" s="4">
        <v>742</v>
      </c>
      <c r="I2" s="1">
        <f>A2</f>
        <v>2022</v>
      </c>
      <c r="J2" s="6">
        <f>E6</f>
        <v>124.11266576370778</v>
      </c>
      <c r="K2" s="1"/>
      <c r="L2" s="1"/>
      <c r="M2" s="6"/>
      <c r="N2" s="6"/>
    </row>
    <row r="3" spans="1:14">
      <c r="A3" s="7"/>
      <c r="B3" s="4" t="s">
        <v>9</v>
      </c>
      <c r="C3" s="8">
        <f t="shared" ref="C3:C138" si="1">G3+F2</f>
        <v>627.53516666666667</v>
      </c>
      <c r="D3" s="3">
        <v>4.0999999999999996</v>
      </c>
      <c r="E3" s="5">
        <f t="shared" ref="E3:E138" si="2">((C3*D3)/100)+E2</f>
        <v>56.150941833333334</v>
      </c>
      <c r="F3" s="5">
        <f t="shared" si="0"/>
        <v>4.6792451527777779</v>
      </c>
      <c r="G3" s="4">
        <v>625</v>
      </c>
      <c r="I3" s="9">
        <f>A7</f>
        <v>2023</v>
      </c>
      <c r="J3" s="6">
        <f ca="1">E18</f>
        <v>497.36776858029242</v>
      </c>
      <c r="K3" s="10">
        <f t="shared" ref="K3:K13" si="3">J2/12</f>
        <v>10.342722146975648</v>
      </c>
      <c r="L3" s="1"/>
      <c r="M3" s="6"/>
      <c r="N3" s="6"/>
    </row>
    <row r="4" spans="1:14">
      <c r="A4" s="7"/>
      <c r="B4" s="4" t="s">
        <v>10</v>
      </c>
      <c r="C4" s="8">
        <f t="shared" si="1"/>
        <v>534.67924515277775</v>
      </c>
      <c r="D4" s="3">
        <v>4.0999999999999996</v>
      </c>
      <c r="E4" s="5">
        <f t="shared" si="2"/>
        <v>78.072790884597225</v>
      </c>
      <c r="F4" s="5">
        <f t="shared" si="0"/>
        <v>6.5060659070497691</v>
      </c>
      <c r="G4" s="4">
        <v>530</v>
      </c>
      <c r="I4" s="9">
        <f>A19</f>
        <v>2024</v>
      </c>
      <c r="J4" s="6">
        <f ca="1">E30</f>
        <v>846.6512086421053</v>
      </c>
      <c r="K4" s="10">
        <f t="shared" ca="1" si="3"/>
        <v>41.447314048357704</v>
      </c>
      <c r="L4" s="1"/>
      <c r="M4" s="6"/>
      <c r="N4" s="6"/>
    </row>
    <row r="5" spans="1:14">
      <c r="A5" s="7"/>
      <c r="B5" s="4" t="s">
        <v>11</v>
      </c>
      <c r="C5" s="8">
        <f t="shared" si="1"/>
        <v>559.50606590704979</v>
      </c>
      <c r="D5" s="3">
        <v>4.0999999999999996</v>
      </c>
      <c r="E5" s="5">
        <f t="shared" si="2"/>
        <v>101.01253958678626</v>
      </c>
      <c r="F5" s="5">
        <f t="shared" si="0"/>
        <v>8.417711632232189</v>
      </c>
      <c r="G5" s="4">
        <v>553</v>
      </c>
      <c r="I5" s="9">
        <f>A31</f>
        <v>2025</v>
      </c>
      <c r="J5" s="6">
        <f ca="1">E42</f>
        <v>1407.4124380998544</v>
      </c>
      <c r="K5" s="10">
        <f t="shared" ca="1" si="3"/>
        <v>70.554267386842113</v>
      </c>
      <c r="L5" s="1"/>
      <c r="M5" s="6"/>
      <c r="N5" s="6"/>
    </row>
    <row r="6" spans="1:14">
      <c r="A6" s="7"/>
      <c r="B6" s="4" t="s">
        <v>12</v>
      </c>
      <c r="C6" s="8">
        <f t="shared" si="1"/>
        <v>563.41771163223223</v>
      </c>
      <c r="D6" s="3">
        <v>4.0999999999999996</v>
      </c>
      <c r="E6" s="5">
        <f t="shared" si="2"/>
        <v>124.11266576370778</v>
      </c>
      <c r="F6" s="5">
        <f t="shared" si="0"/>
        <v>10.342722146975648</v>
      </c>
      <c r="G6" s="4">
        <v>555</v>
      </c>
      <c r="I6" s="9">
        <f>A43</f>
        <v>2026</v>
      </c>
      <c r="J6" s="6">
        <f ca="1">E54</f>
        <v>2098.0305252824996</v>
      </c>
      <c r="K6" s="10">
        <f t="shared" ca="1" si="3"/>
        <v>117.28436984165454</v>
      </c>
      <c r="L6" s="1"/>
      <c r="M6" s="6"/>
      <c r="N6" s="6"/>
    </row>
    <row r="7" spans="1:14">
      <c r="A7" s="11">
        <v>2023</v>
      </c>
      <c r="B7" s="12" t="s">
        <v>13</v>
      </c>
      <c r="C7" s="13">
        <f t="shared" si="1"/>
        <v>1060.3427221469756</v>
      </c>
      <c r="D7" s="11">
        <v>4.3099999999999996</v>
      </c>
      <c r="E7" s="14">
        <f t="shared" si="2"/>
        <v>169.81343708824244</v>
      </c>
      <c r="F7" s="14">
        <f t="shared" si="0"/>
        <v>14.151119757353536</v>
      </c>
      <c r="G7" s="12">
        <v>1050</v>
      </c>
      <c r="I7" s="1">
        <f>A55</f>
        <v>2027</v>
      </c>
      <c r="J7" s="6">
        <f ca="1">E66</f>
        <v>3042.138876515834</v>
      </c>
      <c r="K7" s="10">
        <f t="shared" ca="1" si="3"/>
        <v>174.83587710687496</v>
      </c>
      <c r="L7" s="1"/>
      <c r="M7" s="6"/>
      <c r="N7" s="6"/>
    </row>
    <row r="8" spans="1:14">
      <c r="B8" s="15" t="s">
        <v>14</v>
      </c>
      <c r="C8" s="13">
        <f t="shared" si="1"/>
        <v>515.15111975735351</v>
      </c>
      <c r="D8" s="11">
        <v>5.45</v>
      </c>
      <c r="E8" s="14">
        <f t="shared" si="2"/>
        <v>197.8891731150182</v>
      </c>
      <c r="F8" s="14">
        <f t="shared" si="0"/>
        <v>16.490764426251516</v>
      </c>
      <c r="G8" s="12">
        <v>501</v>
      </c>
      <c r="I8" s="9">
        <f>A67</f>
        <v>2028</v>
      </c>
      <c r="J8" s="10">
        <f ca="1">E78</f>
        <v>4109.888629173226</v>
      </c>
      <c r="K8" s="10">
        <f t="shared" ca="1" si="3"/>
        <v>253.51157304298616</v>
      </c>
      <c r="L8" s="1"/>
      <c r="M8" s="6"/>
      <c r="N8" s="6"/>
    </row>
    <row r="9" spans="1:14">
      <c r="B9" s="2" t="s">
        <v>15</v>
      </c>
      <c r="C9" s="13">
        <f t="shared" si="1"/>
        <v>556.49076442625153</v>
      </c>
      <c r="D9" s="11">
        <v>4.49</v>
      </c>
      <c r="E9" s="14">
        <f t="shared" si="2"/>
        <v>222.87560843775688</v>
      </c>
      <c r="F9" s="14">
        <f t="shared" si="0"/>
        <v>18.572967369813075</v>
      </c>
      <c r="G9" s="12">
        <v>540</v>
      </c>
      <c r="I9" s="9">
        <f>A79</f>
        <v>2029</v>
      </c>
      <c r="J9" s="6">
        <f ca="1">E90</f>
        <v>4637.6193285713334</v>
      </c>
      <c r="K9" s="10">
        <f t="shared" ca="1" si="3"/>
        <v>342.49071909776882</v>
      </c>
      <c r="L9" s="1"/>
      <c r="M9" s="6"/>
      <c r="N9" s="6"/>
    </row>
    <row r="10" spans="1:14">
      <c r="B10" s="2" t="s">
        <v>16</v>
      </c>
      <c r="C10" s="16">
        <f t="shared" si="1"/>
        <v>1074.5729673698131</v>
      </c>
      <c r="D10" s="17">
        <f ca="1">Aprilie_DI!L2</f>
        <v>4.8725923252289984</v>
      </c>
      <c r="E10" s="18">
        <f t="shared" ca="1" si="2"/>
        <v>275.23516837480389</v>
      </c>
      <c r="F10" s="18">
        <f t="shared" ca="1" si="0"/>
        <v>22.936264031233659</v>
      </c>
      <c r="G10" s="19">
        <v>1056</v>
      </c>
      <c r="I10" s="9">
        <f>A91</f>
        <v>2030</v>
      </c>
      <c r="J10" s="6">
        <f ca="1">E102</f>
        <v>5191.4182779835783</v>
      </c>
      <c r="K10" s="10">
        <f t="shared" ca="1" si="3"/>
        <v>386.46827738094447</v>
      </c>
      <c r="L10" s="1"/>
      <c r="M10" s="6"/>
      <c r="N10" s="6"/>
    </row>
    <row r="11" spans="1:14">
      <c r="B11" s="2" t="s">
        <v>17</v>
      </c>
      <c r="C11" s="16">
        <f t="shared" ca="1" si="1"/>
        <v>612.93626403123369</v>
      </c>
      <c r="D11" s="17">
        <f ca="1">May_DI!L2</f>
        <v>4.4959408234559035</v>
      </c>
      <c r="E11" s="18">
        <f t="shared" ca="1" si="2"/>
        <v>302.79242009114961</v>
      </c>
      <c r="F11" s="18">
        <f t="shared" ca="1" si="0"/>
        <v>25.232701674262469</v>
      </c>
      <c r="G11" s="19">
        <v>590</v>
      </c>
      <c r="I11" s="9">
        <f>A103</f>
        <v>2031</v>
      </c>
      <c r="J11" s="6">
        <f ca="1">E114</f>
        <v>5772.5731676269088</v>
      </c>
      <c r="K11" s="10">
        <f t="shared" ca="1" si="3"/>
        <v>432.61818983196486</v>
      </c>
      <c r="L11" s="1"/>
      <c r="M11" s="6"/>
      <c r="N11" s="6"/>
    </row>
    <row r="12" spans="1:14">
      <c r="B12" s="2" t="s">
        <v>18</v>
      </c>
      <c r="C12" s="16">
        <f t="shared" ca="1" si="1"/>
        <v>525.23270167426244</v>
      </c>
      <c r="D12" s="17">
        <f ca="1">Iunie_DI!L2</f>
        <v>4.7097304824231179</v>
      </c>
      <c r="E12" s="18">
        <f t="shared" ca="1" si="2"/>
        <v>327.52946474555682</v>
      </c>
      <c r="F12" s="18">
        <f t="shared" ca="1" si="0"/>
        <v>27.294122062129734</v>
      </c>
      <c r="G12" s="19">
        <v>500</v>
      </c>
      <c r="I12" s="9">
        <f>A115</f>
        <v>2032</v>
      </c>
      <c r="J12" s="6">
        <f ca="1">E126</f>
        <v>6382.4352955973609</v>
      </c>
      <c r="K12" s="10">
        <f t="shared" ca="1" si="3"/>
        <v>481.04776396890907</v>
      </c>
      <c r="L12" s="1"/>
      <c r="M12" s="6"/>
      <c r="N12" s="6"/>
    </row>
    <row r="13" spans="1:14">
      <c r="B13" s="2" t="s">
        <v>19</v>
      </c>
      <c r="C13" s="16">
        <f t="shared" ca="1" si="1"/>
        <v>527.29412206212976</v>
      </c>
      <c r="D13" s="17">
        <f ca="1">Iulie_DI!L2</f>
        <v>5.1021422313539162</v>
      </c>
      <c r="E13" s="18">
        <f t="shared" ca="1" si="2"/>
        <v>354.43276083073562</v>
      </c>
      <c r="F13" s="18">
        <f t="shared" ca="1" si="0"/>
        <v>29.5360634025613</v>
      </c>
      <c r="G13" s="19">
        <v>500</v>
      </c>
      <c r="I13" s="9">
        <f>A127</f>
        <v>2033</v>
      </c>
      <c r="J13" s="6">
        <f ca="1">E138</f>
        <v>7022.4227099008194</v>
      </c>
      <c r="K13" s="10">
        <f t="shared" ca="1" si="3"/>
        <v>531.86960796644678</v>
      </c>
      <c r="L13" s="1"/>
      <c r="M13" s="6"/>
      <c r="N13" s="6"/>
    </row>
    <row r="14" spans="1:14">
      <c r="B14" s="2" t="s">
        <v>8</v>
      </c>
      <c r="C14" s="16">
        <f t="shared" ca="1" si="1"/>
        <v>574.53606340256135</v>
      </c>
      <c r="D14" s="17">
        <f ca="1">August_DI!L2</f>
        <v>4.7500824684504677</v>
      </c>
      <c r="E14" s="18">
        <f t="shared" ca="1" si="2"/>
        <v>381.72369765334616</v>
      </c>
      <c r="F14" s="18">
        <f t="shared" ca="1" si="0"/>
        <v>31.810308137778847</v>
      </c>
      <c r="G14" s="19">
        <v>545</v>
      </c>
      <c r="I14" s="1">
        <f>A62</f>
        <v>0</v>
      </c>
      <c r="J14" s="9"/>
      <c r="K14" s="1"/>
      <c r="L14" s="1"/>
      <c r="M14" s="6"/>
      <c r="N14" s="6"/>
    </row>
    <row r="15" spans="1:14">
      <c r="B15" s="2" t="s">
        <v>9</v>
      </c>
      <c r="C15" s="16">
        <f t="shared" ca="1" si="1"/>
        <v>581.81030813777886</v>
      </c>
      <c r="D15" s="17">
        <f ca="1">Septembrie_DI!L2</f>
        <v>4.6686267588155967</v>
      </c>
      <c r="E15" s="18">
        <f t="shared" ca="1" si="2"/>
        <v>408.88624938461396</v>
      </c>
      <c r="F15" s="18">
        <f t="shared" ca="1" si="0"/>
        <v>34.073854115384499</v>
      </c>
      <c r="G15" s="19">
        <v>550</v>
      </c>
      <c r="I15" s="9">
        <f>A74</f>
        <v>0</v>
      </c>
      <c r="J15" s="1"/>
      <c r="K15" s="1"/>
      <c r="L15" s="1"/>
      <c r="M15" s="6"/>
      <c r="N15" s="6"/>
    </row>
    <row r="16" spans="1:14">
      <c r="B16" s="2" t="s">
        <v>10</v>
      </c>
      <c r="C16" s="16">
        <f t="shared" ca="1" si="1"/>
        <v>639.07385411538451</v>
      </c>
      <c r="D16" s="17">
        <f ca="1">Octombrie_DI!L2</f>
        <v>4.9091288363386312</v>
      </c>
      <c r="E16" s="18">
        <f t="shared" ca="1" si="2"/>
        <v>440.259208242493</v>
      </c>
      <c r="F16" s="18">
        <f t="shared" ca="1" si="0"/>
        <v>36.688267353541086</v>
      </c>
      <c r="G16" s="19">
        <v>605</v>
      </c>
      <c r="I16" s="9">
        <f>A86</f>
        <v>0</v>
      </c>
      <c r="J16" s="9"/>
      <c r="K16" s="1"/>
      <c r="L16" s="1"/>
      <c r="M16" s="6"/>
      <c r="N16" s="6"/>
    </row>
    <row r="17" spans="1:14">
      <c r="B17" s="2" t="s">
        <v>11</v>
      </c>
      <c r="C17" s="16">
        <f t="shared" ca="1" si="1"/>
        <v>591.68826735354105</v>
      </c>
      <c r="D17" s="17">
        <f ca="1">Noiembrie_DI!L2</f>
        <v>5.2053980440493355</v>
      </c>
      <c r="E17" s="18">
        <f t="shared" ca="1" si="2"/>
        <v>471.05893773818366</v>
      </c>
      <c r="F17" s="18">
        <f t="shared" ca="1" si="0"/>
        <v>39.254911478181974</v>
      </c>
      <c r="G17" s="19">
        <v>555</v>
      </c>
      <c r="K17" s="1"/>
      <c r="L17" s="1"/>
      <c r="M17" s="6"/>
      <c r="N17" s="6"/>
    </row>
    <row r="18" spans="1:14">
      <c r="B18" s="2" t="s">
        <v>12</v>
      </c>
      <c r="C18" s="16">
        <f t="shared" ca="1" si="1"/>
        <v>589.25491147818195</v>
      </c>
      <c r="D18" s="17">
        <f ca="1">Decembrie_DI!L2</f>
        <v>4.4647622496877357</v>
      </c>
      <c r="E18" s="18">
        <f t="shared" ca="1" si="2"/>
        <v>497.36776858029242</v>
      </c>
      <c r="F18" s="18">
        <f t="shared" ca="1" si="0"/>
        <v>41.447314048357704</v>
      </c>
      <c r="G18" s="19">
        <v>550</v>
      </c>
      <c r="K18" s="1"/>
      <c r="L18" s="1"/>
      <c r="M18" s="6"/>
      <c r="N18" s="6"/>
    </row>
    <row r="19" spans="1:14">
      <c r="A19" s="20">
        <v>2024</v>
      </c>
      <c r="B19" s="21" t="s">
        <v>13</v>
      </c>
      <c r="C19" s="22">
        <f t="shared" ca="1" si="1"/>
        <v>566.44731404835773</v>
      </c>
      <c r="D19" s="23">
        <f ca="1">Ianuarie_DI!L2</f>
        <v>4.3527458593130781</v>
      </c>
      <c r="E19" s="24">
        <f t="shared" ca="1" si="2"/>
        <v>522.02378058772251</v>
      </c>
      <c r="F19" s="24">
        <f t="shared" ca="1" si="0"/>
        <v>43.501981715643545</v>
      </c>
      <c r="G19" s="25">
        <v>525</v>
      </c>
      <c r="I19" s="1"/>
      <c r="K19" s="1"/>
      <c r="L19" s="1"/>
      <c r="M19" s="6"/>
      <c r="N19" s="6"/>
    </row>
    <row r="20" spans="1:14">
      <c r="A20" s="26"/>
      <c r="B20" s="27" t="s">
        <v>14</v>
      </c>
      <c r="C20" s="22">
        <f t="shared" ca="1" si="1"/>
        <v>543.50198171564352</v>
      </c>
      <c r="D20" s="23">
        <f ca="1">Februarie_DI!L2</f>
        <v>6.0508075349858581</v>
      </c>
      <c r="E20" s="24">
        <f t="shared" ca="1" si="2"/>
        <v>554.91003945017019</v>
      </c>
      <c r="F20" s="24">
        <f t="shared" ca="1" si="0"/>
        <v>46.242503287514182</v>
      </c>
      <c r="G20" s="25">
        <v>500</v>
      </c>
      <c r="J20" s="28"/>
      <c r="K20" s="1"/>
      <c r="L20" s="1"/>
      <c r="M20" s="6"/>
      <c r="N20" s="6"/>
    </row>
    <row r="21" spans="1:14">
      <c r="A21" s="26"/>
      <c r="B21" s="21" t="s">
        <v>15</v>
      </c>
      <c r="C21" s="22">
        <f t="shared" ca="1" si="1"/>
        <v>586.24250328751418</v>
      </c>
      <c r="D21" s="23">
        <f ca="1">Martie_DI!L2</f>
        <v>4.3941595306949193</v>
      </c>
      <c r="E21" s="24">
        <f t="shared" ca="1" si="2"/>
        <v>580.67047028136301</v>
      </c>
      <c r="F21" s="24">
        <f t="shared" ca="1" si="0"/>
        <v>48.389205856780251</v>
      </c>
      <c r="G21" s="25">
        <v>540</v>
      </c>
      <c r="K21" s="1"/>
      <c r="L21" s="1"/>
      <c r="M21" s="6"/>
      <c r="N21" s="6"/>
    </row>
    <row r="22" spans="1:14">
      <c r="A22" s="26"/>
      <c r="B22" s="21" t="s">
        <v>16</v>
      </c>
      <c r="C22" s="22">
        <f t="shared" ca="1" si="1"/>
        <v>623.38920585678022</v>
      </c>
      <c r="D22" s="23">
        <f ca="1">Aprilie_DI!L2</f>
        <v>4.8725923252289984</v>
      </c>
      <c r="E22" s="24">
        <f t="shared" ca="1" si="2"/>
        <v>611.04568488224652</v>
      </c>
      <c r="F22" s="24">
        <f t="shared" ca="1" si="0"/>
        <v>50.920473740187212</v>
      </c>
      <c r="G22" s="25">
        <v>575</v>
      </c>
      <c r="K22" s="1"/>
      <c r="L22" s="1"/>
      <c r="M22" s="6"/>
      <c r="N22" s="6"/>
    </row>
    <row r="23" spans="1:14">
      <c r="A23" s="26"/>
      <c r="B23" s="21" t="s">
        <v>17</v>
      </c>
      <c r="C23" s="22">
        <f t="shared" ca="1" si="1"/>
        <v>640.92047374018716</v>
      </c>
      <c r="D23" s="23">
        <f ca="1">May_DI!L2</f>
        <v>4.4959408234559035</v>
      </c>
      <c r="E23" s="24">
        <f t="shared" ca="1" si="2"/>
        <v>639.86109010701853</v>
      </c>
      <c r="F23" s="24">
        <f t="shared" ca="1" si="0"/>
        <v>53.321757508918211</v>
      </c>
      <c r="G23" s="25">
        <v>590</v>
      </c>
      <c r="K23" s="1"/>
      <c r="L23" s="1"/>
      <c r="M23" s="6"/>
      <c r="N23" s="6"/>
    </row>
    <row r="24" spans="1:14">
      <c r="A24" s="26"/>
      <c r="B24" s="21" t="s">
        <v>18</v>
      </c>
      <c r="C24" s="22">
        <f t="shared" ca="1" si="1"/>
        <v>553.32175750891815</v>
      </c>
      <c r="D24" s="23">
        <f ca="1">Iunie_DI!L2</f>
        <v>4.7097304824231179</v>
      </c>
      <c r="E24" s="24">
        <f t="shared" ca="1" si="2"/>
        <v>665.92105358629533</v>
      </c>
      <c r="F24" s="24">
        <f t="shared" ca="1" si="0"/>
        <v>55.49342113219128</v>
      </c>
      <c r="G24" s="25">
        <v>500</v>
      </c>
      <c r="K24" s="1"/>
      <c r="L24" s="1"/>
      <c r="M24" s="6"/>
      <c r="N24" s="6"/>
    </row>
    <row r="25" spans="1:14">
      <c r="A25" s="26"/>
      <c r="B25" s="21" t="s">
        <v>19</v>
      </c>
      <c r="C25" s="22">
        <f t="shared" ca="1" si="1"/>
        <v>605.49342113219132</v>
      </c>
      <c r="D25" s="23">
        <f ca="1">Iulie_DI!L2</f>
        <v>5.1021422313539162</v>
      </c>
      <c r="E25" s="24">
        <f t="shared" ca="1" si="2"/>
        <v>696.81418913395044</v>
      </c>
      <c r="F25" s="24">
        <f t="shared" ca="1" si="0"/>
        <v>58.06784909449587</v>
      </c>
      <c r="G25" s="25">
        <v>550</v>
      </c>
      <c r="K25" s="1"/>
      <c r="L25" s="1"/>
      <c r="M25" s="6"/>
      <c r="N25" s="6"/>
    </row>
    <row r="26" spans="1:14">
      <c r="A26" s="26"/>
      <c r="B26" s="21" t="s">
        <v>8</v>
      </c>
      <c r="C26" s="22">
        <f t="shared" ca="1" si="1"/>
        <v>603.06784909449584</v>
      </c>
      <c r="D26" s="23">
        <f ca="1">August_DI!L2</f>
        <v>4.7500824684504677</v>
      </c>
      <c r="E26" s="24">
        <f t="shared" ca="1" si="2"/>
        <v>725.46040930664935</v>
      </c>
      <c r="F26" s="24">
        <f t="shared" ca="1" si="0"/>
        <v>60.455034108887446</v>
      </c>
      <c r="G26" s="25">
        <v>545</v>
      </c>
      <c r="K26" s="1"/>
      <c r="L26" s="1"/>
      <c r="M26" s="6"/>
      <c r="N26" s="6"/>
    </row>
    <row r="27" spans="1:14">
      <c r="A27" s="26"/>
      <c r="B27" s="21" t="s">
        <v>9</v>
      </c>
      <c r="C27" s="22">
        <f t="shared" ca="1" si="1"/>
        <v>610.4550341088875</v>
      </c>
      <c r="D27" s="23">
        <f ca="1">Septembrie_DI!L2</f>
        <v>4.6686267588155967</v>
      </c>
      <c r="E27" s="24">
        <f t="shared" ca="1" si="2"/>
        <v>753.96027637959378</v>
      </c>
      <c r="F27" s="24">
        <f t="shared" ca="1" si="0"/>
        <v>62.830023031632813</v>
      </c>
      <c r="G27" s="25">
        <v>550</v>
      </c>
      <c r="K27" s="1"/>
      <c r="L27" s="1"/>
      <c r="M27" s="6"/>
      <c r="N27" s="6"/>
    </row>
    <row r="28" spans="1:14">
      <c r="A28" s="26"/>
      <c r="B28" s="21" t="s">
        <v>10</v>
      </c>
      <c r="C28" s="22">
        <f t="shared" ca="1" si="1"/>
        <v>667.83002303163278</v>
      </c>
      <c r="D28" s="23">
        <f ca="1">Octombrie_DI!L2</f>
        <v>4.9091288363386312</v>
      </c>
      <c r="E28" s="24">
        <f t="shared" ca="1" si="2"/>
        <v>786.74491261796663</v>
      </c>
      <c r="F28" s="24">
        <f t="shared" ca="1" si="0"/>
        <v>65.562076051497215</v>
      </c>
      <c r="G28" s="25">
        <v>605</v>
      </c>
      <c r="K28" s="1"/>
      <c r="L28" s="1"/>
      <c r="M28" s="6"/>
      <c r="N28" s="6"/>
    </row>
    <row r="29" spans="1:14">
      <c r="A29" s="26"/>
      <c r="B29" s="21" t="s">
        <v>11</v>
      </c>
      <c r="C29" s="22">
        <f t="shared" ca="1" si="1"/>
        <v>620.56207605149723</v>
      </c>
      <c r="D29" s="23">
        <f ca="1">Noiembrie_DI!L2</f>
        <v>5.2053980440493355</v>
      </c>
      <c r="E29" s="24">
        <f t="shared" ca="1" si="2"/>
        <v>819.04763878686322</v>
      </c>
      <c r="F29" s="24">
        <f t="shared" ca="1" si="0"/>
        <v>68.253969898905268</v>
      </c>
      <c r="G29" s="25">
        <v>555</v>
      </c>
      <c r="K29" s="1"/>
      <c r="L29" s="1"/>
      <c r="M29" s="6"/>
      <c r="N29" s="6"/>
    </row>
    <row r="30" spans="1:14">
      <c r="A30" s="26"/>
      <c r="B30" s="21" t="s">
        <v>12</v>
      </c>
      <c r="C30" s="22">
        <f t="shared" ca="1" si="1"/>
        <v>618.25396989890532</v>
      </c>
      <c r="D30" s="23">
        <f ca="1">Decembrie_DI!L2</f>
        <v>4.4647622496877357</v>
      </c>
      <c r="E30" s="24">
        <f t="shared" ca="1" si="2"/>
        <v>846.6512086421053</v>
      </c>
      <c r="F30" s="24">
        <f t="shared" ca="1" si="0"/>
        <v>70.554267386842113</v>
      </c>
      <c r="G30" s="25">
        <v>550</v>
      </c>
      <c r="K30" s="1"/>
      <c r="L30" s="1"/>
      <c r="M30" s="6"/>
      <c r="N30" s="6"/>
    </row>
    <row r="31" spans="1:14">
      <c r="A31" s="1">
        <v>2025</v>
      </c>
      <c r="B31" s="2" t="s">
        <v>13</v>
      </c>
      <c r="C31" s="29">
        <f t="shared" ca="1" si="1"/>
        <v>595.55426738684207</v>
      </c>
      <c r="D31" s="17">
        <f ca="1">Ianuarie_DI!L2</f>
        <v>4.3527458593130781</v>
      </c>
      <c r="E31" s="18">
        <f t="shared" ca="1" si="2"/>
        <v>872.57417235574837</v>
      </c>
      <c r="F31" s="18">
        <f t="shared" ca="1" si="0"/>
        <v>72.714514362979031</v>
      </c>
      <c r="G31" s="19">
        <v>525</v>
      </c>
      <c r="I31" s="1"/>
      <c r="K31" s="1"/>
      <c r="L31" s="1"/>
      <c r="M31" s="6"/>
      <c r="N31" s="6"/>
    </row>
    <row r="32" spans="1:14">
      <c r="B32" s="28" t="s">
        <v>14</v>
      </c>
      <c r="C32" s="29">
        <f t="shared" ca="1" si="1"/>
        <v>572.714514362979</v>
      </c>
      <c r="D32" s="17">
        <f ca="1">Februarie_DI!L2</f>
        <v>6.0508075349858581</v>
      </c>
      <c r="E32" s="18">
        <f t="shared" ca="1" si="2"/>
        <v>907.22802534478114</v>
      </c>
      <c r="F32" s="18">
        <f t="shared" ca="1" si="0"/>
        <v>75.602335445398424</v>
      </c>
      <c r="G32" s="19">
        <v>500</v>
      </c>
      <c r="J32" s="28"/>
      <c r="K32" s="1"/>
      <c r="L32" s="1"/>
      <c r="M32" s="6"/>
      <c r="N32" s="6"/>
    </row>
    <row r="33" spans="1:14">
      <c r="B33" s="2" t="s">
        <v>15</v>
      </c>
      <c r="C33" s="29">
        <f t="shared" ca="1" si="1"/>
        <v>615.60233544539847</v>
      </c>
      <c r="D33" s="17">
        <f ca="1">Martie_DI!L2</f>
        <v>4.3941595306949193</v>
      </c>
      <c r="E33" s="18">
        <f t="shared" ca="1" si="2"/>
        <v>934.27857403893563</v>
      </c>
      <c r="F33" s="18">
        <f t="shared" ca="1" si="0"/>
        <v>77.856547836577974</v>
      </c>
      <c r="G33" s="19">
        <v>540</v>
      </c>
      <c r="K33" s="1"/>
      <c r="L33" s="1"/>
      <c r="M33" s="6"/>
      <c r="N33" s="6"/>
    </row>
    <row r="34" spans="1:14">
      <c r="B34" s="2" t="s">
        <v>16</v>
      </c>
      <c r="C34" s="29">
        <f t="shared" ca="1" si="1"/>
        <v>652.85654783657799</v>
      </c>
      <c r="D34" s="17">
        <f ca="1">Aprilie_DI!L2</f>
        <v>4.8725923252289984</v>
      </c>
      <c r="E34" s="18">
        <f t="shared" ca="1" si="2"/>
        <v>966.08961208357573</v>
      </c>
      <c r="F34" s="18">
        <f t="shared" ca="1" si="0"/>
        <v>80.507467673631311</v>
      </c>
      <c r="G34" s="19">
        <v>575</v>
      </c>
      <c r="H34" s="2" t="s">
        <v>20</v>
      </c>
      <c r="K34" s="1"/>
      <c r="L34" s="1"/>
      <c r="M34" s="6"/>
      <c r="N34" s="6"/>
    </row>
    <row r="35" spans="1:14">
      <c r="B35" s="2" t="s">
        <v>17</v>
      </c>
      <c r="C35" s="29">
        <f t="shared" ca="1" si="1"/>
        <v>1170.5074676736313</v>
      </c>
      <c r="D35" s="17">
        <f ca="1">May_DI!L2</f>
        <v>4.4959408234559035</v>
      </c>
      <c r="E35" s="18">
        <f t="shared" ca="1" si="2"/>
        <v>1018.7149351643144</v>
      </c>
      <c r="F35" s="18">
        <f t="shared" ca="1" si="0"/>
        <v>84.892911263692866</v>
      </c>
      <c r="G35" s="19">
        <v>1090</v>
      </c>
      <c r="K35" s="1"/>
      <c r="L35" s="1"/>
      <c r="M35" s="6"/>
      <c r="N35" s="6"/>
    </row>
    <row r="36" spans="1:14">
      <c r="B36" s="2" t="s">
        <v>18</v>
      </c>
      <c r="C36" s="29">
        <f t="shared" ca="1" si="1"/>
        <v>1084.8929112636929</v>
      </c>
      <c r="D36" s="17">
        <f ca="1">Iunie_DI!L2</f>
        <v>4.7097304824231179</v>
      </c>
      <c r="E36" s="18">
        <f t="shared" ca="1" si="2"/>
        <v>1069.8104673077482</v>
      </c>
      <c r="F36" s="18">
        <f t="shared" ca="1" si="0"/>
        <v>89.150872275645682</v>
      </c>
      <c r="G36" s="19">
        <v>1000</v>
      </c>
      <c r="K36" s="1"/>
      <c r="L36" s="1"/>
      <c r="M36" s="6"/>
      <c r="N36" s="6"/>
    </row>
    <row r="37" spans="1:14">
      <c r="B37" s="2" t="s">
        <v>19</v>
      </c>
      <c r="C37" s="29">
        <f t="shared" ca="1" si="1"/>
        <v>1139.1508722756457</v>
      </c>
      <c r="D37" s="17">
        <f ca="1">Iulie_DI!L2</f>
        <v>5.1021422313539162</v>
      </c>
      <c r="E37" s="18">
        <f t="shared" ca="1" si="2"/>
        <v>1127.9315650409605</v>
      </c>
      <c r="F37" s="18">
        <f t="shared" ca="1" si="0"/>
        <v>93.994297086746712</v>
      </c>
      <c r="G37" s="19">
        <v>1050</v>
      </c>
      <c r="K37" s="1"/>
      <c r="L37" s="1"/>
      <c r="M37" s="6"/>
      <c r="N37" s="6"/>
    </row>
    <row r="38" spans="1:14">
      <c r="B38" s="2" t="s">
        <v>8</v>
      </c>
      <c r="C38" s="29">
        <f t="shared" ca="1" si="1"/>
        <v>1138.9942970867467</v>
      </c>
      <c r="D38" s="17">
        <f ca="1">August_DI!L2</f>
        <v>4.7500824684504677</v>
      </c>
      <c r="E38" s="18">
        <f t="shared" ca="1" si="2"/>
        <v>1182.0347334635287</v>
      </c>
      <c r="F38" s="18">
        <f t="shared" ca="1" si="0"/>
        <v>98.502894455294054</v>
      </c>
      <c r="G38" s="19">
        <v>1045</v>
      </c>
      <c r="K38" s="1"/>
      <c r="L38" s="1"/>
      <c r="M38" s="6"/>
      <c r="N38" s="6"/>
    </row>
    <row r="39" spans="1:14">
      <c r="B39" s="2" t="s">
        <v>9</v>
      </c>
      <c r="C39" s="29">
        <f t="shared" ca="1" si="1"/>
        <v>1148.5028944552942</v>
      </c>
      <c r="D39" s="17">
        <f ca="1">Septembrie_DI!L2</f>
        <v>4.6686267588155967</v>
      </c>
      <c r="E39" s="18">
        <f t="shared" ca="1" si="2"/>
        <v>1235.6540469198403</v>
      </c>
      <c r="F39" s="18">
        <f t="shared" ca="1" si="0"/>
        <v>102.97117057665336</v>
      </c>
      <c r="G39" s="19">
        <v>1050</v>
      </c>
      <c r="K39" s="1"/>
      <c r="L39" s="1"/>
      <c r="M39" s="6"/>
      <c r="N39" s="6"/>
    </row>
    <row r="40" spans="1:14">
      <c r="B40" s="2" t="s">
        <v>10</v>
      </c>
      <c r="C40" s="29">
        <f t="shared" ca="1" si="1"/>
        <v>1207.9711705766533</v>
      </c>
      <c r="D40" s="17">
        <f ca="1">Octombrie_DI!L2</f>
        <v>4.9091288363386312</v>
      </c>
      <c r="E40" s="18">
        <f t="shared" ca="1" si="2"/>
        <v>1294.9549079892761</v>
      </c>
      <c r="F40" s="18">
        <f t="shared" ca="1" si="0"/>
        <v>107.91290899910634</v>
      </c>
      <c r="G40" s="19">
        <v>1105</v>
      </c>
      <c r="K40" s="1"/>
      <c r="L40" s="1"/>
      <c r="M40" s="6"/>
      <c r="N40" s="6"/>
    </row>
    <row r="41" spans="1:14">
      <c r="B41" s="2" t="s">
        <v>11</v>
      </c>
      <c r="C41" s="29">
        <f t="shared" ca="1" si="1"/>
        <v>1162.9129089991063</v>
      </c>
      <c r="D41" s="17">
        <f ca="1">Noiembrie_DI!L2</f>
        <v>5.2053980440493355</v>
      </c>
      <c r="E41" s="18">
        <f t="shared" ca="1" si="2"/>
        <v>1355.4891538083127</v>
      </c>
      <c r="F41" s="18">
        <f t="shared" ca="1" si="0"/>
        <v>112.95742948402606</v>
      </c>
      <c r="G41" s="19">
        <v>1055</v>
      </c>
      <c r="K41" s="1"/>
      <c r="L41" s="1"/>
      <c r="M41" s="6"/>
      <c r="N41" s="6"/>
    </row>
    <row r="42" spans="1:14">
      <c r="B42" s="2" t="s">
        <v>12</v>
      </c>
      <c r="C42" s="29">
        <f t="shared" ca="1" si="1"/>
        <v>1162.9574294840261</v>
      </c>
      <c r="D42" s="17">
        <f ca="1">Decembrie_DI!L2</f>
        <v>4.4647622496877357</v>
      </c>
      <c r="E42" s="18">
        <f t="shared" ca="1" si="2"/>
        <v>1407.4124380998544</v>
      </c>
      <c r="F42" s="18">
        <f t="shared" ca="1" si="0"/>
        <v>117.28436984165454</v>
      </c>
      <c r="G42" s="19">
        <v>1050</v>
      </c>
      <c r="K42" s="1"/>
      <c r="L42" s="1"/>
      <c r="M42" s="6"/>
      <c r="N42" s="6"/>
    </row>
    <row r="43" spans="1:14">
      <c r="A43" s="20">
        <v>2026</v>
      </c>
      <c r="B43" s="21" t="s">
        <v>13</v>
      </c>
      <c r="C43" s="22">
        <f t="shared" ca="1" si="1"/>
        <v>1142.2843698416546</v>
      </c>
      <c r="D43" s="23">
        <f ca="1">Ianuarie_DI!L2</f>
        <v>4.3527458593130781</v>
      </c>
      <c r="E43" s="24">
        <f t="shared" ca="1" si="2"/>
        <v>1457.1331737097175</v>
      </c>
      <c r="F43" s="24">
        <f t="shared" ca="1" si="0"/>
        <v>121.42776447580979</v>
      </c>
      <c r="G43" s="25">
        <v>1025</v>
      </c>
      <c r="I43" s="1"/>
      <c r="K43" s="1"/>
      <c r="L43" s="1"/>
      <c r="M43" s="6"/>
      <c r="N43" s="6"/>
    </row>
    <row r="44" spans="1:14">
      <c r="A44" s="26"/>
      <c r="B44" s="27" t="s">
        <v>14</v>
      </c>
      <c r="C44" s="22">
        <f t="shared" ca="1" si="1"/>
        <v>1121.4277644758099</v>
      </c>
      <c r="D44" s="23">
        <f ca="1">Februarie_DI!L2</f>
        <v>6.0508075349858581</v>
      </c>
      <c r="E44" s="24">
        <f t="shared" ca="1" si="2"/>
        <v>1524.9886093820433</v>
      </c>
      <c r="F44" s="24">
        <f t="shared" ca="1" si="0"/>
        <v>127.08238411517027</v>
      </c>
      <c r="G44" s="25">
        <v>1000</v>
      </c>
      <c r="J44" s="28"/>
      <c r="K44" s="1"/>
      <c r="L44" s="1"/>
      <c r="M44" s="6"/>
      <c r="N44" s="6"/>
    </row>
    <row r="45" spans="1:14">
      <c r="A45" s="26"/>
      <c r="B45" s="21" t="s">
        <v>15</v>
      </c>
      <c r="C45" s="22">
        <f t="shared" ca="1" si="1"/>
        <v>1167.0823841151703</v>
      </c>
      <c r="D45" s="23">
        <f ca="1">Martie_DI!L2</f>
        <v>4.3941595306949193</v>
      </c>
      <c r="E45" s="24">
        <f t="shared" ca="1" si="2"/>
        <v>1576.2720711947015</v>
      </c>
      <c r="F45" s="24">
        <f t="shared" ca="1" si="0"/>
        <v>131.3560059328918</v>
      </c>
      <c r="G45" s="25">
        <v>1040</v>
      </c>
      <c r="K45" s="1"/>
      <c r="L45" s="1"/>
      <c r="M45" s="6"/>
      <c r="N45" s="6"/>
    </row>
    <row r="46" spans="1:14">
      <c r="A46" s="26"/>
      <c r="B46" s="21" t="s">
        <v>16</v>
      </c>
      <c r="C46" s="22">
        <f t="shared" ca="1" si="1"/>
        <v>1206.3560059328918</v>
      </c>
      <c r="D46" s="23">
        <f ca="1">Aprilie_DI!L2</f>
        <v>4.8725923252289984</v>
      </c>
      <c r="E46" s="24">
        <f t="shared" ca="1" si="2"/>
        <v>1635.0528813547267</v>
      </c>
      <c r="F46" s="24">
        <f t="shared" ca="1" si="0"/>
        <v>136.25440677956055</v>
      </c>
      <c r="G46" s="25">
        <v>1075</v>
      </c>
      <c r="K46" s="1"/>
      <c r="L46" s="1"/>
      <c r="M46" s="6"/>
      <c r="N46" s="6"/>
    </row>
    <row r="47" spans="1:14">
      <c r="A47" s="26"/>
      <c r="B47" s="21" t="s">
        <v>17</v>
      </c>
      <c r="C47" s="22">
        <f t="shared" ca="1" si="1"/>
        <v>1226.2544067795607</v>
      </c>
      <c r="D47" s="23">
        <f ca="1">May_DI!L2</f>
        <v>4.4959408234559035</v>
      </c>
      <c r="E47" s="24">
        <f t="shared" ca="1" si="2"/>
        <v>1690.1845538285559</v>
      </c>
      <c r="F47" s="24">
        <f t="shared" ca="1" si="0"/>
        <v>140.84871281904631</v>
      </c>
      <c r="G47" s="25">
        <v>1090</v>
      </c>
      <c r="K47" s="1"/>
      <c r="L47" s="1"/>
      <c r="M47" s="6"/>
      <c r="N47" s="6"/>
    </row>
    <row r="48" spans="1:14">
      <c r="A48" s="26"/>
      <c r="B48" s="21" t="s">
        <v>18</v>
      </c>
      <c r="C48" s="22">
        <f t="shared" ca="1" si="1"/>
        <v>1140.8487128190463</v>
      </c>
      <c r="D48" s="23">
        <f ca="1">Iunie_DI!L2</f>
        <v>4.7097304824231179</v>
      </c>
      <c r="E48" s="24">
        <f t="shared" ca="1" si="2"/>
        <v>1743.9154534145262</v>
      </c>
      <c r="F48" s="24">
        <f t="shared" ca="1" si="0"/>
        <v>145.32628778454384</v>
      </c>
      <c r="G48" s="25">
        <v>1000</v>
      </c>
      <c r="K48" s="1"/>
      <c r="L48" s="1"/>
      <c r="M48" s="6"/>
      <c r="N48" s="6"/>
    </row>
    <row r="49" spans="1:14">
      <c r="A49" s="26"/>
      <c r="B49" s="21" t="s">
        <v>19</v>
      </c>
      <c r="C49" s="22">
        <f t="shared" ca="1" si="1"/>
        <v>1195.3262877845439</v>
      </c>
      <c r="D49" s="23">
        <f ca="1">Iulie_DI!L2</f>
        <v>5.1021422313539162</v>
      </c>
      <c r="E49" s="24">
        <f t="shared" ca="1" si="2"/>
        <v>1804.9027007460563</v>
      </c>
      <c r="F49" s="24">
        <f t="shared" ca="1" si="0"/>
        <v>150.40855839550468</v>
      </c>
      <c r="G49" s="25">
        <v>1050</v>
      </c>
      <c r="K49" s="1"/>
      <c r="L49" s="1"/>
      <c r="M49" s="6"/>
      <c r="N49" s="6"/>
    </row>
    <row r="50" spans="1:14">
      <c r="A50" s="26"/>
      <c r="B50" s="21" t="s">
        <v>8</v>
      </c>
      <c r="C50" s="22">
        <f t="shared" ca="1" si="1"/>
        <v>1195.4085583955048</v>
      </c>
      <c r="D50" s="23">
        <f ca="1">August_DI!L2</f>
        <v>4.7500824684504677</v>
      </c>
      <c r="E50" s="24">
        <f t="shared" ca="1" si="2"/>
        <v>1861.6855931047576</v>
      </c>
      <c r="F50" s="24">
        <f t="shared" ca="1" si="0"/>
        <v>155.14046609206312</v>
      </c>
      <c r="G50" s="25">
        <v>1045</v>
      </c>
      <c r="K50" s="1"/>
      <c r="L50" s="1"/>
      <c r="M50" s="6"/>
      <c r="N50" s="6"/>
    </row>
    <row r="51" spans="1:14">
      <c r="A51" s="26"/>
      <c r="B51" s="21" t="s">
        <v>9</v>
      </c>
      <c r="C51" s="22">
        <f t="shared" ca="1" si="1"/>
        <v>1205.1404660920632</v>
      </c>
      <c r="D51" s="23">
        <f ca="1">Septembrie_DI!L2</f>
        <v>4.6686267588155967</v>
      </c>
      <c r="E51" s="24">
        <f t="shared" ca="1" si="2"/>
        <v>1917.9491033860465</v>
      </c>
      <c r="F51" s="24">
        <f t="shared" ca="1" si="0"/>
        <v>159.8290919488372</v>
      </c>
      <c r="G51" s="25">
        <v>1050</v>
      </c>
      <c r="K51" s="1"/>
      <c r="L51" s="1"/>
      <c r="M51" s="6"/>
      <c r="N51" s="6"/>
    </row>
    <row r="52" spans="1:14">
      <c r="A52" s="26"/>
      <c r="B52" s="21" t="s">
        <v>10</v>
      </c>
      <c r="C52" s="22">
        <f t="shared" ca="1" si="1"/>
        <v>1264.8290919488372</v>
      </c>
      <c r="D52" s="23">
        <f ca="1">Octombrie_DI!L2</f>
        <v>4.9091288363386312</v>
      </c>
      <c r="E52" s="24">
        <f t="shared" ca="1" si="2"/>
        <v>1980.0411930693069</v>
      </c>
      <c r="F52" s="24">
        <f t="shared" ca="1" si="0"/>
        <v>165.00343275577558</v>
      </c>
      <c r="G52" s="25">
        <v>1105</v>
      </c>
      <c r="K52" s="1"/>
      <c r="L52" s="1"/>
      <c r="M52" s="6"/>
      <c r="N52" s="6"/>
    </row>
    <row r="53" spans="1:14">
      <c r="A53" s="26"/>
      <c r="B53" s="21" t="s">
        <v>11</v>
      </c>
      <c r="C53" s="22">
        <f t="shared" ca="1" si="1"/>
        <v>1220.0034327557755</v>
      </c>
      <c r="D53" s="23">
        <f ca="1">Noiembrie_DI!L2</f>
        <v>5.2053980440493355</v>
      </c>
      <c r="E53" s="24">
        <f t="shared" ca="1" si="2"/>
        <v>2043.5472278953109</v>
      </c>
      <c r="F53" s="24">
        <f t="shared" ca="1" si="0"/>
        <v>170.29560232460923</v>
      </c>
      <c r="G53" s="25">
        <v>1055</v>
      </c>
      <c r="K53" s="1"/>
      <c r="L53" s="1"/>
      <c r="M53" s="6"/>
      <c r="N53" s="6"/>
    </row>
    <row r="54" spans="1:14">
      <c r="A54" s="26"/>
      <c r="B54" s="21" t="s">
        <v>12</v>
      </c>
      <c r="C54" s="22">
        <f t="shared" ca="1" si="1"/>
        <v>1220.2956023246093</v>
      </c>
      <c r="D54" s="23">
        <f ca="1">Decembrie_DI!L2</f>
        <v>4.4647622496877357</v>
      </c>
      <c r="E54" s="24">
        <f t="shared" ca="1" si="2"/>
        <v>2098.0305252824996</v>
      </c>
      <c r="F54" s="24">
        <f t="shared" ca="1" si="0"/>
        <v>174.83587710687496</v>
      </c>
      <c r="G54" s="25">
        <v>1050</v>
      </c>
      <c r="K54" s="1"/>
      <c r="L54" s="1"/>
      <c r="M54" s="6"/>
      <c r="N54" s="6"/>
    </row>
    <row r="55" spans="1:14">
      <c r="A55" s="1">
        <v>2027</v>
      </c>
      <c r="B55" s="2" t="s">
        <v>13</v>
      </c>
      <c r="C55" s="29">
        <f t="shared" ca="1" si="1"/>
        <v>1199.8358771068749</v>
      </c>
      <c r="D55" s="17">
        <f ca="1">Ianuarie_DI!L2</f>
        <v>4.3527458593130781</v>
      </c>
      <c r="E55" s="18">
        <f t="shared" ca="1" si="2"/>
        <v>2150.2563317418217</v>
      </c>
      <c r="F55" s="18">
        <f t="shared" ca="1" si="0"/>
        <v>179.18802764515181</v>
      </c>
      <c r="G55" s="19">
        <v>1025</v>
      </c>
      <c r="I55" s="1"/>
      <c r="K55" s="1"/>
      <c r="L55" s="1"/>
      <c r="M55" s="6"/>
      <c r="N55" s="6"/>
    </row>
    <row r="56" spans="1:14">
      <c r="B56" s="28" t="s">
        <v>14</v>
      </c>
      <c r="C56" s="29">
        <f t="shared" ca="1" si="1"/>
        <v>1179.1880276451518</v>
      </c>
      <c r="D56" s="17">
        <f ca="1">Februarie_DI!L2</f>
        <v>6.0508075349858581</v>
      </c>
      <c r="E56" s="18">
        <f t="shared" ca="1" si="2"/>
        <v>2221.6067297702257</v>
      </c>
      <c r="F56" s="18">
        <f t="shared" ca="1" si="0"/>
        <v>185.13389414751882</v>
      </c>
      <c r="G56" s="19">
        <v>1000</v>
      </c>
      <c r="J56" s="28"/>
      <c r="K56" s="1"/>
      <c r="L56" s="1"/>
      <c r="M56" s="6"/>
      <c r="N56" s="6"/>
    </row>
    <row r="57" spans="1:14">
      <c r="B57" s="2" t="s">
        <v>15</v>
      </c>
      <c r="C57" s="29">
        <f t="shared" ca="1" si="1"/>
        <v>1225.1338941475187</v>
      </c>
      <c r="D57" s="17">
        <f ca="1">Martie_DI!L2</f>
        <v>4.3941595306949193</v>
      </c>
      <c r="E57" s="18">
        <f t="shared" ca="1" si="2"/>
        <v>2275.4410675436825</v>
      </c>
      <c r="F57" s="18">
        <f t="shared" ca="1" si="0"/>
        <v>189.62008896197355</v>
      </c>
      <c r="G57" s="19">
        <v>1040</v>
      </c>
      <c r="K57" s="1"/>
      <c r="L57" s="1"/>
      <c r="M57" s="6"/>
      <c r="N57" s="6"/>
    </row>
    <row r="58" spans="1:14">
      <c r="B58" s="2" t="s">
        <v>16</v>
      </c>
      <c r="C58" s="29">
        <f t="shared" ca="1" si="1"/>
        <v>1764.6200889619736</v>
      </c>
      <c r="D58" s="17">
        <f ca="1">Aprilie_DI!L2</f>
        <v>4.8725923252289984</v>
      </c>
      <c r="E58" s="18">
        <f t="shared" ca="1" si="2"/>
        <v>2361.4238105678928</v>
      </c>
      <c r="F58" s="18">
        <f t="shared" ca="1" si="0"/>
        <v>196.78531754732441</v>
      </c>
      <c r="G58" s="19">
        <v>1575</v>
      </c>
      <c r="K58" s="1"/>
      <c r="L58" s="1"/>
      <c r="M58" s="6"/>
      <c r="N58" s="6"/>
    </row>
    <row r="59" spans="1:14">
      <c r="B59" s="2" t="s">
        <v>17</v>
      </c>
      <c r="C59" s="29">
        <f t="shared" ca="1" si="1"/>
        <v>1786.7853175473244</v>
      </c>
      <c r="D59" s="17">
        <f ca="1">May_DI!L2</f>
        <v>4.4959408234559035</v>
      </c>
      <c r="E59" s="18">
        <f t="shared" ca="1" si="2"/>
        <v>2441.7566210870191</v>
      </c>
      <c r="F59" s="18">
        <f t="shared" ca="1" si="0"/>
        <v>203.47971842391826</v>
      </c>
      <c r="G59" s="19">
        <v>1590</v>
      </c>
      <c r="K59" s="1"/>
      <c r="L59" s="1"/>
      <c r="M59" s="6"/>
      <c r="N59" s="6"/>
    </row>
    <row r="60" spans="1:14">
      <c r="B60" s="2" t="s">
        <v>18</v>
      </c>
      <c r="C60" s="29">
        <f t="shared" ca="1" si="1"/>
        <v>1703.4797184239183</v>
      </c>
      <c r="D60" s="17">
        <f ca="1">Iunie_DI!L2</f>
        <v>4.7097304824231179</v>
      </c>
      <c r="E60" s="18">
        <f t="shared" ca="1" si="2"/>
        <v>2521.9859246475257</v>
      </c>
      <c r="F60" s="18">
        <f t="shared" ca="1" si="0"/>
        <v>210.16549372062715</v>
      </c>
      <c r="G60" s="19">
        <v>1500</v>
      </c>
      <c r="K60" s="1"/>
      <c r="L60" s="1"/>
      <c r="M60" s="6"/>
      <c r="N60" s="6"/>
    </row>
    <row r="61" spans="1:14">
      <c r="B61" s="2" t="s">
        <v>19</v>
      </c>
      <c r="C61" s="29">
        <f t="shared" ca="1" si="1"/>
        <v>1760.1654937206272</v>
      </c>
      <c r="D61" s="17">
        <f ca="1">Iulie_DI!L2</f>
        <v>5.1021422313539162</v>
      </c>
      <c r="E61" s="18">
        <f t="shared" ca="1" si="2"/>
        <v>2611.792071644365</v>
      </c>
      <c r="F61" s="18">
        <f t="shared" ca="1" si="0"/>
        <v>217.64933930369708</v>
      </c>
      <c r="G61" s="19">
        <v>1550</v>
      </c>
      <c r="K61" s="1"/>
      <c r="L61" s="1"/>
      <c r="M61" s="6"/>
      <c r="N61" s="6"/>
    </row>
    <row r="62" spans="1:14">
      <c r="B62" s="2" t="s">
        <v>8</v>
      </c>
      <c r="C62" s="29">
        <f t="shared" ca="1" si="1"/>
        <v>1762.6493393036972</v>
      </c>
      <c r="D62" s="17">
        <f ca="1">August_DI!L2</f>
        <v>4.7500824684504677</v>
      </c>
      <c r="E62" s="18">
        <f t="shared" ca="1" si="2"/>
        <v>2695.519368890888</v>
      </c>
      <c r="F62" s="18">
        <f t="shared" ca="1" si="0"/>
        <v>224.62661407424068</v>
      </c>
      <c r="G62" s="19">
        <v>1545</v>
      </c>
      <c r="K62" s="1"/>
      <c r="L62" s="1"/>
      <c r="M62" s="6"/>
      <c r="N62" s="6"/>
    </row>
    <row r="63" spans="1:14">
      <c r="B63" s="2" t="s">
        <v>9</v>
      </c>
      <c r="C63" s="29">
        <f t="shared" ca="1" si="1"/>
        <v>1774.6266140742407</v>
      </c>
      <c r="D63" s="17">
        <f ca="1">Septembrie_DI!L2</f>
        <v>4.6686267588155967</v>
      </c>
      <c r="E63" s="18">
        <f t="shared" ca="1" si="2"/>
        <v>2778.3700618646212</v>
      </c>
      <c r="F63" s="18">
        <f t="shared" ca="1" si="0"/>
        <v>231.53083848871844</v>
      </c>
      <c r="G63" s="19">
        <v>1550</v>
      </c>
      <c r="K63" s="1"/>
      <c r="L63" s="1"/>
      <c r="M63" s="6"/>
      <c r="N63" s="6"/>
    </row>
    <row r="64" spans="1:14">
      <c r="B64" s="2" t="s">
        <v>10</v>
      </c>
      <c r="C64" s="29">
        <f t="shared" ca="1" si="1"/>
        <v>1836.5308384887185</v>
      </c>
      <c r="D64" s="17">
        <f ca="1">Octombrie_DI!L2</f>
        <v>4.9091288363386312</v>
      </c>
      <c r="E64" s="18">
        <f t="shared" ca="1" si="2"/>
        <v>2868.5277268451227</v>
      </c>
      <c r="F64" s="18">
        <f t="shared" ca="1" si="0"/>
        <v>239.04397723709357</v>
      </c>
      <c r="G64" s="19">
        <v>1605</v>
      </c>
      <c r="K64" s="1"/>
      <c r="L64" s="1"/>
      <c r="M64" s="6"/>
      <c r="N64" s="6"/>
    </row>
    <row r="65" spans="1:27">
      <c r="B65" s="2" t="s">
        <v>11</v>
      </c>
      <c r="C65" s="29">
        <f t="shared" ca="1" si="1"/>
        <v>1794.0439772370935</v>
      </c>
      <c r="D65" s="17">
        <f ca="1">Noiembrie_DI!L2</f>
        <v>5.2053980440493355</v>
      </c>
      <c r="E65" s="18">
        <f t="shared" ca="1" si="2"/>
        <v>2961.9148569456074</v>
      </c>
      <c r="F65" s="18">
        <f t="shared" ca="1" si="0"/>
        <v>246.82623807880063</v>
      </c>
      <c r="G65" s="19">
        <v>1555</v>
      </c>
      <c r="K65" s="1"/>
      <c r="L65" s="1"/>
      <c r="M65" s="6"/>
      <c r="N65" s="6"/>
    </row>
    <row r="66" spans="1:27">
      <c r="A66" s="30"/>
      <c r="B66" s="31" t="s">
        <v>12</v>
      </c>
      <c r="C66" s="29">
        <f t="shared" ca="1" si="1"/>
        <v>1796.8262380788005</v>
      </c>
      <c r="D66" s="17">
        <f ca="1">Decembrie_DI!L2</f>
        <v>4.4647622496877357</v>
      </c>
      <c r="E66" s="32">
        <f t="shared" ca="1" si="2"/>
        <v>3042.138876515834</v>
      </c>
      <c r="F66" s="32">
        <f t="shared" ca="1" si="0"/>
        <v>253.51157304298616</v>
      </c>
      <c r="G66" s="19">
        <v>1550</v>
      </c>
      <c r="H66" s="30"/>
      <c r="I66" s="30"/>
      <c r="J66" s="31"/>
      <c r="K66" s="33"/>
      <c r="L66" s="33"/>
      <c r="M66" s="34"/>
      <c r="N66" s="34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>
      <c r="A67" s="20">
        <v>2028</v>
      </c>
      <c r="B67" s="21" t="s">
        <v>13</v>
      </c>
      <c r="C67" s="22">
        <f t="shared" ca="1" si="1"/>
        <v>1778.5115730429861</v>
      </c>
      <c r="D67" s="23">
        <f ca="1">Ianuarie_DI!L2</f>
        <v>4.3527458593130781</v>
      </c>
      <c r="E67" s="24">
        <f t="shared" ca="1" si="2"/>
        <v>3119.5529653688664</v>
      </c>
      <c r="F67" s="24">
        <f t="shared" ca="1" si="0"/>
        <v>259.96274711407222</v>
      </c>
      <c r="G67" s="25">
        <v>1525</v>
      </c>
      <c r="I67" s="1"/>
      <c r="K67" s="1"/>
      <c r="L67" s="1"/>
      <c r="M67" s="6"/>
      <c r="N67" s="6"/>
    </row>
    <row r="68" spans="1:27">
      <c r="A68" s="26"/>
      <c r="B68" s="27" t="s">
        <v>14</v>
      </c>
      <c r="C68" s="22">
        <f t="shared" ca="1" si="1"/>
        <v>1759.9627471140723</v>
      </c>
      <c r="D68" s="23">
        <f ca="1">Februarie_DI!L2</f>
        <v>6.0508075349858581</v>
      </c>
      <c r="E68" s="24">
        <f t="shared" ca="1" si="2"/>
        <v>3226.0449238841888</v>
      </c>
      <c r="F68" s="24">
        <f t="shared" ca="1" si="0"/>
        <v>268.83707699034909</v>
      </c>
      <c r="G68" s="25">
        <v>1500</v>
      </c>
      <c r="J68" s="28"/>
      <c r="K68" s="1"/>
      <c r="L68" s="1"/>
      <c r="M68" s="6"/>
      <c r="N68" s="6"/>
    </row>
    <row r="69" spans="1:27">
      <c r="A69" s="26"/>
      <c r="B69" s="21" t="s">
        <v>15</v>
      </c>
      <c r="C69" s="22">
        <f t="shared" ca="1" si="1"/>
        <v>1808.837076990349</v>
      </c>
      <c r="D69" s="23">
        <f ca="1">Martie_DI!L2</f>
        <v>4.3941595306949193</v>
      </c>
      <c r="E69" s="24">
        <f t="shared" ca="1" si="2"/>
        <v>3305.5281106975035</v>
      </c>
      <c r="F69" s="24">
        <f t="shared" ca="1" si="0"/>
        <v>275.46067589145861</v>
      </c>
      <c r="G69" s="25">
        <v>1540</v>
      </c>
      <c r="K69" s="1"/>
      <c r="L69" s="1"/>
      <c r="M69" s="6"/>
      <c r="N69" s="6"/>
    </row>
    <row r="70" spans="1:27">
      <c r="A70" s="26"/>
      <c r="B70" s="21" t="s">
        <v>16</v>
      </c>
      <c r="C70" s="22">
        <f t="shared" ca="1" si="1"/>
        <v>1850.4606758914585</v>
      </c>
      <c r="D70" s="23">
        <f ca="1">Aprilie_DI!L2</f>
        <v>4.8725923252289984</v>
      </c>
      <c r="E70" s="24">
        <f t="shared" ca="1" si="2"/>
        <v>3395.6935155723713</v>
      </c>
      <c r="F70" s="24">
        <f t="shared" ca="1" si="0"/>
        <v>282.97445963103092</v>
      </c>
      <c r="G70" s="25">
        <v>1575</v>
      </c>
      <c r="K70" s="1"/>
      <c r="L70" s="1"/>
      <c r="M70" s="6"/>
      <c r="N70" s="6"/>
    </row>
    <row r="71" spans="1:27">
      <c r="A71" s="26"/>
      <c r="B71" s="21" t="s">
        <v>17</v>
      </c>
      <c r="C71" s="22">
        <f t="shared" ca="1" si="1"/>
        <v>1872.9744596310309</v>
      </c>
      <c r="D71" s="23">
        <f ca="1">May_DI!L2</f>
        <v>4.4959408234559035</v>
      </c>
      <c r="E71" s="24">
        <f t="shared" ca="1" si="2"/>
        <v>3479.9013389158254</v>
      </c>
      <c r="F71" s="24">
        <f t="shared" ca="1" si="0"/>
        <v>289.99177824298545</v>
      </c>
      <c r="G71" s="25">
        <v>1590</v>
      </c>
      <c r="K71" s="1"/>
      <c r="L71" s="1"/>
      <c r="M71" s="6"/>
      <c r="N71" s="6"/>
    </row>
    <row r="72" spans="1:27">
      <c r="A72" s="26"/>
      <c r="B72" s="21" t="s">
        <v>18</v>
      </c>
      <c r="C72" s="22">
        <f t="shared" ca="1" si="1"/>
        <v>1789.9917782429854</v>
      </c>
      <c r="D72" s="23">
        <f ca="1">Iunie_DI!L2</f>
        <v>4.7097304824231179</v>
      </c>
      <c r="E72" s="24">
        <f t="shared" ca="1" si="2"/>
        <v>3564.2051273286029</v>
      </c>
      <c r="F72" s="24">
        <f t="shared" ca="1" si="0"/>
        <v>297.01709394405026</v>
      </c>
      <c r="G72" s="25">
        <v>1500</v>
      </c>
      <c r="K72" s="1"/>
      <c r="L72" s="1"/>
      <c r="M72" s="6"/>
      <c r="N72" s="6"/>
    </row>
    <row r="73" spans="1:27">
      <c r="A73" s="26"/>
      <c r="B73" s="21" t="s">
        <v>19</v>
      </c>
      <c r="C73" s="22">
        <f t="shared" ca="1" si="1"/>
        <v>1847.0170939440502</v>
      </c>
      <c r="D73" s="23">
        <f ca="1">Iulie_DI!L2</f>
        <v>5.1021422313539162</v>
      </c>
      <c r="E73" s="24">
        <f t="shared" ca="1" si="2"/>
        <v>3658.4425664990481</v>
      </c>
      <c r="F73" s="24">
        <f t="shared" ca="1" si="0"/>
        <v>304.87021387492069</v>
      </c>
      <c r="G73" s="25">
        <v>1550</v>
      </c>
      <c r="K73" s="1"/>
      <c r="L73" s="1"/>
      <c r="M73" s="6"/>
      <c r="N73" s="6"/>
    </row>
    <row r="74" spans="1:27">
      <c r="A74" s="26"/>
      <c r="B74" s="21" t="s">
        <v>8</v>
      </c>
      <c r="C74" s="22">
        <f t="shared" ca="1" si="1"/>
        <v>1849.8702138749206</v>
      </c>
      <c r="D74" s="23">
        <f ca="1">August_DI!L2</f>
        <v>4.7500824684504677</v>
      </c>
      <c r="E74" s="24">
        <f t="shared" ca="1" si="2"/>
        <v>3746.3129272174078</v>
      </c>
      <c r="F74" s="24">
        <f t="shared" ca="1" si="0"/>
        <v>312.192743934784</v>
      </c>
      <c r="G74" s="25">
        <v>1545</v>
      </c>
      <c r="K74" s="1"/>
      <c r="L74" s="1"/>
      <c r="M74" s="6"/>
      <c r="N74" s="6"/>
    </row>
    <row r="75" spans="1:27">
      <c r="A75" s="26"/>
      <c r="B75" s="21" t="s">
        <v>9</v>
      </c>
      <c r="C75" s="22">
        <f t="shared" ca="1" si="1"/>
        <v>1862.1927439347839</v>
      </c>
      <c r="D75" s="23">
        <f ca="1">Septembrie_DI!L2</f>
        <v>4.6686267588155967</v>
      </c>
      <c r="E75" s="24">
        <f t="shared" ca="1" si="2"/>
        <v>3833.2517559614694</v>
      </c>
      <c r="F75" s="24">
        <f t="shared" ca="1" si="0"/>
        <v>319.43764633012245</v>
      </c>
      <c r="G75" s="25">
        <v>1550</v>
      </c>
      <c r="K75" s="1"/>
      <c r="L75" s="1"/>
      <c r="M75" s="6"/>
      <c r="N75" s="6"/>
    </row>
    <row r="76" spans="1:27">
      <c r="A76" s="26"/>
      <c r="B76" s="21" t="s">
        <v>10</v>
      </c>
      <c r="C76" s="22">
        <f t="shared" ca="1" si="1"/>
        <v>1924.4376463301223</v>
      </c>
      <c r="D76" s="23">
        <f ca="1">Octombrie_DI!L2</f>
        <v>4.9091288363386312</v>
      </c>
      <c r="E76" s="24">
        <f t="shared" ca="1" si="2"/>
        <v>3927.7248793948179</v>
      </c>
      <c r="F76" s="24">
        <f t="shared" ca="1" si="0"/>
        <v>327.31040661623484</v>
      </c>
      <c r="G76" s="25">
        <v>1605</v>
      </c>
      <c r="K76" s="1"/>
      <c r="L76" s="1"/>
      <c r="M76" s="6"/>
      <c r="N76" s="6"/>
    </row>
    <row r="77" spans="1:27">
      <c r="A77" s="26"/>
      <c r="B77" s="21" t="s">
        <v>11</v>
      </c>
      <c r="C77" s="22">
        <f t="shared" ca="1" si="1"/>
        <v>1882.3104066162348</v>
      </c>
      <c r="D77" s="23">
        <f ca="1">Noiembrie_DI!L2</f>
        <v>5.2053980440493355</v>
      </c>
      <c r="E77" s="24">
        <f t="shared" ca="1" si="2"/>
        <v>4025.7066284837565</v>
      </c>
      <c r="F77" s="24">
        <f t="shared" ca="1" si="0"/>
        <v>335.47555237364639</v>
      </c>
      <c r="G77" s="25">
        <v>1555</v>
      </c>
      <c r="K77" s="1"/>
      <c r="L77" s="1"/>
      <c r="M77" s="6"/>
      <c r="N77" s="6"/>
    </row>
    <row r="78" spans="1:27">
      <c r="A78" s="26"/>
      <c r="B78" s="21" t="s">
        <v>12</v>
      </c>
      <c r="C78" s="22">
        <f t="shared" ca="1" si="1"/>
        <v>1885.4755523736465</v>
      </c>
      <c r="D78" s="23">
        <f ca="1">Decembrie_DI!L2</f>
        <v>4.4647622496877357</v>
      </c>
      <c r="E78" s="24">
        <f t="shared" ca="1" si="2"/>
        <v>4109.888629173226</v>
      </c>
      <c r="F78" s="24">
        <f t="shared" ca="1" si="0"/>
        <v>342.49071909776882</v>
      </c>
      <c r="G78" s="25">
        <v>1550</v>
      </c>
      <c r="H78" s="2" t="s">
        <v>21</v>
      </c>
      <c r="K78" s="1"/>
      <c r="L78" s="1"/>
      <c r="M78" s="6"/>
      <c r="N78" s="6"/>
    </row>
    <row r="79" spans="1:27">
      <c r="A79" s="1">
        <v>2029</v>
      </c>
      <c r="B79" s="2" t="s">
        <v>13</v>
      </c>
      <c r="C79" s="29">
        <f t="shared" ca="1" si="1"/>
        <v>867.49071909776876</v>
      </c>
      <c r="D79" s="17">
        <f ca="1">Ianuarie_DI!L2</f>
        <v>4.3527458593130781</v>
      </c>
      <c r="E79" s="18">
        <f t="shared" ca="1" si="2"/>
        <v>4147.6482955286792</v>
      </c>
      <c r="F79" s="18">
        <f t="shared" ca="1" si="0"/>
        <v>345.63735796072325</v>
      </c>
      <c r="G79" s="19">
        <v>525</v>
      </c>
      <c r="I79" s="1"/>
      <c r="K79" s="1"/>
      <c r="L79" s="1"/>
      <c r="M79" s="6"/>
      <c r="N79" s="6"/>
    </row>
    <row r="80" spans="1:27">
      <c r="B80" s="28" t="s">
        <v>14</v>
      </c>
      <c r="C80" s="29">
        <f t="shared" ca="1" si="1"/>
        <v>845.63735796072319</v>
      </c>
      <c r="D80" s="17">
        <f ca="1">Februarie_DI!L2</f>
        <v>6.0508075349858581</v>
      </c>
      <c r="E80" s="18">
        <f t="shared" ca="1" si="2"/>
        <v>4198.8161845028217</v>
      </c>
      <c r="F80" s="18">
        <f t="shared" ca="1" si="0"/>
        <v>349.90134870856849</v>
      </c>
      <c r="G80" s="19">
        <v>500</v>
      </c>
      <c r="J80" s="28"/>
      <c r="K80" s="1"/>
      <c r="L80" s="1"/>
      <c r="M80" s="6"/>
      <c r="N80" s="6"/>
    </row>
    <row r="81" spans="1:14">
      <c r="B81" s="2" t="s">
        <v>15</v>
      </c>
      <c r="C81" s="29">
        <f t="shared" ca="1" si="1"/>
        <v>889.90134870856855</v>
      </c>
      <c r="D81" s="17">
        <f ca="1">Martie_DI!L2</f>
        <v>4.3941595306949193</v>
      </c>
      <c r="E81" s="18">
        <f t="shared" ca="1" si="2"/>
        <v>4237.9198694308816</v>
      </c>
      <c r="F81" s="18">
        <f t="shared" ca="1" si="0"/>
        <v>353.15998911924015</v>
      </c>
      <c r="G81" s="19">
        <v>540</v>
      </c>
      <c r="K81" s="1"/>
      <c r="L81" s="1"/>
      <c r="M81" s="6"/>
      <c r="N81" s="6"/>
    </row>
    <row r="82" spans="1:14">
      <c r="B82" s="2" t="s">
        <v>16</v>
      </c>
      <c r="C82" s="29">
        <f t="shared" ca="1" si="1"/>
        <v>928.15998911924021</v>
      </c>
      <c r="D82" s="17">
        <f ca="1">Aprilie_DI!L2</f>
        <v>4.8725923252289984</v>
      </c>
      <c r="E82" s="18">
        <f t="shared" ca="1" si="2"/>
        <v>4283.1453218265524</v>
      </c>
      <c r="F82" s="18">
        <f t="shared" ca="1" si="0"/>
        <v>356.92877681887938</v>
      </c>
      <c r="G82" s="19">
        <v>575</v>
      </c>
      <c r="K82" s="1"/>
      <c r="L82" s="1"/>
      <c r="M82" s="6"/>
      <c r="N82" s="6"/>
    </row>
    <row r="83" spans="1:14">
      <c r="B83" s="2" t="s">
        <v>17</v>
      </c>
      <c r="C83" s="29">
        <f t="shared" ca="1" si="1"/>
        <v>946.92877681887944</v>
      </c>
      <c r="D83" s="17">
        <f ca="1">May_DI!L2</f>
        <v>4.4959408234559035</v>
      </c>
      <c r="E83" s="18">
        <f t="shared" ca="1" si="2"/>
        <v>4325.7186792726043</v>
      </c>
      <c r="F83" s="18">
        <f t="shared" ca="1" si="0"/>
        <v>360.47655660605034</v>
      </c>
      <c r="G83" s="19">
        <v>590</v>
      </c>
      <c r="K83" s="1"/>
      <c r="L83" s="1"/>
      <c r="M83" s="6"/>
      <c r="N83" s="6"/>
    </row>
    <row r="84" spans="1:14">
      <c r="B84" s="2" t="s">
        <v>18</v>
      </c>
      <c r="C84" s="29">
        <f t="shared" ca="1" si="1"/>
        <v>860.47655660605028</v>
      </c>
      <c r="D84" s="17">
        <f ca="1">Iunie_DI!L2</f>
        <v>4.7097304824231179</v>
      </c>
      <c r="E84" s="18">
        <f t="shared" ca="1" si="2"/>
        <v>4366.2448059531844</v>
      </c>
      <c r="F84" s="18">
        <f t="shared" ca="1" si="0"/>
        <v>363.85373382943203</v>
      </c>
      <c r="G84" s="19">
        <v>500</v>
      </c>
      <c r="K84" s="1"/>
      <c r="L84" s="1"/>
      <c r="M84" s="6"/>
      <c r="N84" s="6"/>
    </row>
    <row r="85" spans="1:14">
      <c r="B85" s="2" t="s">
        <v>19</v>
      </c>
      <c r="C85" s="29">
        <f t="shared" ca="1" si="1"/>
        <v>913.85373382943203</v>
      </c>
      <c r="D85" s="17">
        <f ca="1">Iulie_DI!L2</f>
        <v>5.1021422313539162</v>
      </c>
      <c r="E85" s="18">
        <f t="shared" ca="1" si="2"/>
        <v>4412.8709232397005</v>
      </c>
      <c r="F85" s="18">
        <f t="shared" ca="1" si="0"/>
        <v>367.73924360330835</v>
      </c>
      <c r="G85" s="19">
        <v>550</v>
      </c>
      <c r="K85" s="1"/>
      <c r="L85" s="1"/>
      <c r="M85" s="6"/>
      <c r="N85" s="6"/>
    </row>
    <row r="86" spans="1:14">
      <c r="B86" s="2" t="s">
        <v>8</v>
      </c>
      <c r="C86" s="29">
        <f t="shared" ca="1" si="1"/>
        <v>912.7392436033083</v>
      </c>
      <c r="D86" s="17">
        <f ca="1">August_DI!L2</f>
        <v>4.7500824684504677</v>
      </c>
      <c r="E86" s="18">
        <f t="shared" ca="1" si="2"/>
        <v>4456.2267900327688</v>
      </c>
      <c r="F86" s="18">
        <f t="shared" ca="1" si="0"/>
        <v>371.35223250273071</v>
      </c>
      <c r="G86" s="19">
        <v>545</v>
      </c>
      <c r="K86" s="1"/>
      <c r="L86" s="1"/>
      <c r="M86" s="6"/>
      <c r="N86" s="6"/>
    </row>
    <row r="87" spans="1:14">
      <c r="B87" s="2" t="s">
        <v>9</v>
      </c>
      <c r="C87" s="29">
        <f t="shared" ca="1" si="1"/>
        <v>921.35223250273066</v>
      </c>
      <c r="D87" s="17">
        <f ca="1">Septembrie_DI!L2</f>
        <v>4.6686267588155967</v>
      </c>
      <c r="E87" s="18">
        <f t="shared" ca="1" si="2"/>
        <v>4499.2412869023365</v>
      </c>
      <c r="F87" s="18">
        <f t="shared" ca="1" si="0"/>
        <v>374.93677390852804</v>
      </c>
      <c r="G87" s="19">
        <v>550</v>
      </c>
      <c r="K87" s="1"/>
      <c r="L87" s="1"/>
      <c r="M87" s="6"/>
      <c r="N87" s="6"/>
    </row>
    <row r="88" spans="1:14">
      <c r="B88" s="2" t="s">
        <v>10</v>
      </c>
      <c r="C88" s="29">
        <f t="shared" ca="1" si="1"/>
        <v>979.93677390852804</v>
      </c>
      <c r="D88" s="17">
        <f ca="1">Octombrie_DI!L2</f>
        <v>4.9091288363386312</v>
      </c>
      <c r="E88" s="18">
        <f t="shared" ca="1" si="2"/>
        <v>4547.3476456481667</v>
      </c>
      <c r="F88" s="18">
        <f t="shared" ca="1" si="0"/>
        <v>378.94563713734721</v>
      </c>
      <c r="G88" s="19">
        <v>605</v>
      </c>
      <c r="K88" s="1"/>
      <c r="L88" s="1"/>
      <c r="M88" s="6"/>
      <c r="N88" s="6"/>
    </row>
    <row r="89" spans="1:14">
      <c r="B89" s="2" t="s">
        <v>11</v>
      </c>
      <c r="C89" s="29">
        <f t="shared" ca="1" si="1"/>
        <v>933.94563713734715</v>
      </c>
      <c r="D89" s="17">
        <f ca="1">Noiembrie_DI!L2</f>
        <v>5.2053980440493355</v>
      </c>
      <c r="E89" s="18">
        <f t="shared" ca="1" si="2"/>
        <v>4595.963233576198</v>
      </c>
      <c r="F89" s="18">
        <f t="shared" ca="1" si="0"/>
        <v>382.99693613134986</v>
      </c>
      <c r="G89" s="19">
        <v>555</v>
      </c>
      <c r="K89" s="1"/>
      <c r="L89" s="1"/>
      <c r="M89" s="6"/>
      <c r="N89" s="6"/>
    </row>
    <row r="90" spans="1:14">
      <c r="B90" s="2" t="s">
        <v>12</v>
      </c>
      <c r="C90" s="29">
        <f t="shared" ca="1" si="1"/>
        <v>932.99693613134991</v>
      </c>
      <c r="D90" s="17">
        <f ca="1">Decembrie_DI!L2</f>
        <v>4.4647622496877357</v>
      </c>
      <c r="E90" s="18">
        <f t="shared" ca="1" si="2"/>
        <v>4637.6193285713334</v>
      </c>
      <c r="F90" s="18">
        <f t="shared" ca="1" si="0"/>
        <v>386.46827738094447</v>
      </c>
      <c r="G90" s="19">
        <v>550</v>
      </c>
      <c r="K90" s="1"/>
      <c r="L90" s="1"/>
      <c r="M90" s="6"/>
      <c r="N90" s="6"/>
    </row>
    <row r="91" spans="1:14">
      <c r="A91" s="20">
        <v>2030</v>
      </c>
      <c r="B91" s="21" t="s">
        <v>13</v>
      </c>
      <c r="C91" s="22">
        <f t="shared" ca="1" si="1"/>
        <v>911.46827738094453</v>
      </c>
      <c r="D91" s="23">
        <f ca="1">Ianuarie_DI!L2</f>
        <v>4.3527458593130781</v>
      </c>
      <c r="E91" s="24">
        <f t="shared" ca="1" si="2"/>
        <v>4677.2932262739851</v>
      </c>
      <c r="F91" s="24">
        <f t="shared" ca="1" si="0"/>
        <v>389.77443552283211</v>
      </c>
      <c r="G91" s="25">
        <v>525</v>
      </c>
      <c r="I91" s="1"/>
      <c r="K91" s="1"/>
      <c r="L91" s="1"/>
      <c r="M91" s="6"/>
      <c r="N91" s="6"/>
    </row>
    <row r="92" spans="1:14">
      <c r="A92" s="26"/>
      <c r="B92" s="27" t="s">
        <v>14</v>
      </c>
      <c r="C92" s="22">
        <f t="shared" ca="1" si="1"/>
        <v>889.77443552283216</v>
      </c>
      <c r="D92" s="23">
        <f ca="1">Februarie_DI!L2</f>
        <v>6.0508075349858581</v>
      </c>
      <c r="E92" s="24">
        <f t="shared" ca="1" si="2"/>
        <v>4731.1317648629783</v>
      </c>
      <c r="F92" s="24">
        <f t="shared" ca="1" si="0"/>
        <v>394.26098040524818</v>
      </c>
      <c r="G92" s="25">
        <v>500</v>
      </c>
      <c r="J92" s="28"/>
      <c r="K92" s="1"/>
      <c r="L92" s="1"/>
      <c r="M92" s="6"/>
      <c r="N92" s="6"/>
    </row>
    <row r="93" spans="1:14">
      <c r="A93" s="26"/>
      <c r="B93" s="21" t="s">
        <v>15</v>
      </c>
      <c r="C93" s="22">
        <f t="shared" ca="1" si="1"/>
        <v>934.26098040524812</v>
      </c>
      <c r="D93" s="23">
        <f ca="1">Martie_DI!L2</f>
        <v>4.3941595306949193</v>
      </c>
      <c r="E93" s="24">
        <f t="shared" ca="1" si="2"/>
        <v>4772.1846827750196</v>
      </c>
      <c r="F93" s="24">
        <f t="shared" ca="1" si="0"/>
        <v>397.6820568979183</v>
      </c>
      <c r="G93" s="25">
        <v>540</v>
      </c>
      <c r="K93" s="1"/>
      <c r="L93" s="1"/>
      <c r="M93" s="6"/>
      <c r="N93" s="6"/>
    </row>
    <row r="94" spans="1:14">
      <c r="A94" s="26"/>
      <c r="B94" s="21" t="s">
        <v>16</v>
      </c>
      <c r="C94" s="22">
        <f t="shared" ca="1" si="1"/>
        <v>972.6820568979183</v>
      </c>
      <c r="D94" s="23">
        <f ca="1">Aprilie_DI!L2</f>
        <v>4.8725923252289984</v>
      </c>
      <c r="E94" s="24">
        <f t="shared" ca="1" si="2"/>
        <v>4819.5795140283071</v>
      </c>
      <c r="F94" s="24">
        <f t="shared" ca="1" si="0"/>
        <v>401.63162616902559</v>
      </c>
      <c r="G94" s="25">
        <v>575</v>
      </c>
      <c r="K94" s="1"/>
      <c r="L94" s="1"/>
      <c r="M94" s="6"/>
      <c r="N94" s="6"/>
    </row>
    <row r="95" spans="1:14">
      <c r="A95" s="26"/>
      <c r="B95" s="21" t="s">
        <v>17</v>
      </c>
      <c r="C95" s="22">
        <f t="shared" ca="1" si="1"/>
        <v>991.63162616902559</v>
      </c>
      <c r="D95" s="23">
        <f ca="1">May_DI!L2</f>
        <v>4.4959408234559035</v>
      </c>
      <c r="E95" s="24">
        <f t="shared" ca="1" si="2"/>
        <v>4864.1626851275396</v>
      </c>
      <c r="F95" s="24">
        <f t="shared" ca="1" si="0"/>
        <v>405.34689042729497</v>
      </c>
      <c r="G95" s="25">
        <v>590</v>
      </c>
      <c r="K95" s="1"/>
      <c r="L95" s="1"/>
      <c r="M95" s="6"/>
      <c r="N95" s="6"/>
    </row>
    <row r="96" spans="1:14">
      <c r="A96" s="26"/>
      <c r="B96" s="21" t="s">
        <v>18</v>
      </c>
      <c r="C96" s="22">
        <f t="shared" ca="1" si="1"/>
        <v>905.34689042729497</v>
      </c>
      <c r="D96" s="23">
        <f ca="1">Iunie_DI!L2</f>
        <v>4.7097304824231179</v>
      </c>
      <c r="E96" s="24">
        <f t="shared" ca="1" si="2"/>
        <v>4906.802083597664</v>
      </c>
      <c r="F96" s="24">
        <f t="shared" ca="1" si="0"/>
        <v>408.90017363313865</v>
      </c>
      <c r="G96" s="25">
        <v>500</v>
      </c>
      <c r="K96" s="1"/>
      <c r="L96" s="1"/>
      <c r="M96" s="6"/>
      <c r="N96" s="6"/>
    </row>
    <row r="97" spans="1:14">
      <c r="A97" s="26"/>
      <c r="B97" s="21" t="s">
        <v>19</v>
      </c>
      <c r="C97" s="22">
        <f t="shared" ca="1" si="1"/>
        <v>958.90017363313859</v>
      </c>
      <c r="D97" s="23">
        <f ca="1">Iulie_DI!L2</f>
        <v>5.1021422313539162</v>
      </c>
      <c r="E97" s="24">
        <f t="shared" ca="1" si="2"/>
        <v>4955.7265343131266</v>
      </c>
      <c r="F97" s="24">
        <f t="shared" ca="1" si="0"/>
        <v>412.97721119276054</v>
      </c>
      <c r="G97" s="25">
        <v>550</v>
      </c>
      <c r="K97" s="1"/>
      <c r="L97" s="1"/>
      <c r="M97" s="6"/>
      <c r="N97" s="6"/>
    </row>
    <row r="98" spans="1:14">
      <c r="A98" s="26"/>
      <c r="B98" s="21" t="s">
        <v>8</v>
      </c>
      <c r="C98" s="22">
        <f t="shared" ca="1" si="1"/>
        <v>957.97721119276048</v>
      </c>
      <c r="D98" s="23">
        <f ca="1">August_DI!L2</f>
        <v>4.7500824684504677</v>
      </c>
      <c r="E98" s="24">
        <f t="shared" ca="1" si="2"/>
        <v>5001.2312418737447</v>
      </c>
      <c r="F98" s="24">
        <f t="shared" ca="1" si="0"/>
        <v>416.76927015614541</v>
      </c>
      <c r="G98" s="25">
        <v>545</v>
      </c>
      <c r="K98" s="1"/>
      <c r="L98" s="1"/>
      <c r="M98" s="6"/>
      <c r="N98" s="6"/>
    </row>
    <row r="99" spans="1:14">
      <c r="A99" s="26"/>
      <c r="B99" s="21" t="s">
        <v>9</v>
      </c>
      <c r="C99" s="22">
        <f t="shared" ca="1" si="1"/>
        <v>966.76927015614547</v>
      </c>
      <c r="D99" s="23">
        <f ca="1">Septembrie_DI!L2</f>
        <v>4.6686267588155967</v>
      </c>
      <c r="E99" s="24">
        <f t="shared" ca="1" si="2"/>
        <v>5046.3660907162612</v>
      </c>
      <c r="F99" s="24">
        <f t="shared" ca="1" si="0"/>
        <v>420.53050755968843</v>
      </c>
      <c r="G99" s="25">
        <v>550</v>
      </c>
      <c r="K99" s="1"/>
      <c r="L99" s="1"/>
      <c r="M99" s="6"/>
      <c r="N99" s="6"/>
    </row>
    <row r="100" spans="1:14">
      <c r="A100" s="26"/>
      <c r="B100" s="21" t="s">
        <v>10</v>
      </c>
      <c r="C100" s="22">
        <f t="shared" ca="1" si="1"/>
        <v>1025.5305075596884</v>
      </c>
      <c r="D100" s="23">
        <f ca="1">Octombrie_DI!L2</f>
        <v>4.9091288363386312</v>
      </c>
      <c r="E100" s="24">
        <f t="shared" ca="1" si="2"/>
        <v>5096.710704588324</v>
      </c>
      <c r="F100" s="24">
        <f t="shared" ca="1" si="0"/>
        <v>424.72589204902698</v>
      </c>
      <c r="G100" s="25">
        <v>605</v>
      </c>
      <c r="K100" s="1"/>
      <c r="L100" s="1"/>
      <c r="M100" s="6"/>
      <c r="N100" s="6"/>
    </row>
    <row r="101" spans="1:14">
      <c r="A101" s="26"/>
      <c r="B101" s="21" t="s">
        <v>11</v>
      </c>
      <c r="C101" s="22">
        <f t="shared" ca="1" si="1"/>
        <v>979.72589204902692</v>
      </c>
      <c r="D101" s="23">
        <f ca="1">Noiembrie_DI!L2</f>
        <v>5.2053980440493355</v>
      </c>
      <c r="E101" s="24">
        <f t="shared" ca="1" si="2"/>
        <v>5147.7093370100893</v>
      </c>
      <c r="F101" s="24">
        <f t="shared" ca="1" si="0"/>
        <v>428.97577808417412</v>
      </c>
      <c r="G101" s="25">
        <v>555</v>
      </c>
      <c r="K101" s="1"/>
      <c r="L101" s="1"/>
      <c r="M101" s="6"/>
      <c r="N101" s="6"/>
    </row>
    <row r="102" spans="1:14">
      <c r="A102" s="26"/>
      <c r="B102" s="21" t="s">
        <v>12</v>
      </c>
      <c r="C102" s="22">
        <f t="shared" ca="1" si="1"/>
        <v>978.97577808417418</v>
      </c>
      <c r="D102" s="23">
        <f ca="1">Decembrie_DI!L2</f>
        <v>4.4647622496877357</v>
      </c>
      <c r="E102" s="24">
        <f t="shared" ca="1" si="2"/>
        <v>5191.4182779835783</v>
      </c>
      <c r="F102" s="24">
        <f t="shared" ca="1" si="0"/>
        <v>432.61818983196486</v>
      </c>
      <c r="G102" s="25">
        <v>550</v>
      </c>
      <c r="K102" s="1"/>
      <c r="L102" s="1"/>
      <c r="M102" s="6"/>
      <c r="N102" s="6"/>
    </row>
    <row r="103" spans="1:14">
      <c r="A103" s="1">
        <v>2031</v>
      </c>
      <c r="B103" s="2" t="s">
        <v>13</v>
      </c>
      <c r="C103" s="29">
        <f t="shared" ca="1" si="1"/>
        <v>957.61818983196486</v>
      </c>
      <c r="D103" s="17">
        <f ca="1">Ianuarie_DI!L2</f>
        <v>4.3527458593130781</v>
      </c>
      <c r="E103" s="18">
        <f t="shared" ca="1" si="2"/>
        <v>5233.1009640895181</v>
      </c>
      <c r="F103" s="18">
        <f t="shared" ca="1" si="0"/>
        <v>436.09174700745984</v>
      </c>
      <c r="G103" s="19">
        <v>525</v>
      </c>
      <c r="I103" s="1"/>
      <c r="K103" s="1"/>
      <c r="L103" s="1"/>
      <c r="M103" s="6"/>
      <c r="N103" s="6"/>
    </row>
    <row r="104" spans="1:14">
      <c r="B104" s="28" t="s">
        <v>14</v>
      </c>
      <c r="C104" s="29">
        <f t="shared" ca="1" si="1"/>
        <v>936.09174700745984</v>
      </c>
      <c r="D104" s="17">
        <f ca="1">Februarie_DI!L2</f>
        <v>6.0508075349858581</v>
      </c>
      <c r="E104" s="18">
        <f t="shared" ca="1" si="2"/>
        <v>5289.7420740518264</v>
      </c>
      <c r="F104" s="18">
        <f t="shared" ca="1" si="0"/>
        <v>440.81183950431887</v>
      </c>
      <c r="G104" s="19">
        <v>500</v>
      </c>
      <c r="J104" s="28"/>
      <c r="K104" s="1"/>
      <c r="L104" s="1"/>
      <c r="M104" s="6"/>
      <c r="N104" s="6"/>
    </row>
    <row r="105" spans="1:14">
      <c r="B105" s="2" t="s">
        <v>15</v>
      </c>
      <c r="C105" s="29">
        <f t="shared" ca="1" si="1"/>
        <v>980.81183950431887</v>
      </c>
      <c r="D105" s="17">
        <f ca="1">Martie_DI!L2</f>
        <v>4.3941595306949193</v>
      </c>
      <c r="E105" s="18">
        <f t="shared" ca="1" si="2"/>
        <v>5332.8405109755895</v>
      </c>
      <c r="F105" s="18">
        <f t="shared" ca="1" si="0"/>
        <v>444.40337591463248</v>
      </c>
      <c r="G105" s="19">
        <v>540</v>
      </c>
      <c r="K105" s="1"/>
      <c r="L105" s="1"/>
      <c r="M105" s="6"/>
      <c r="N105" s="6"/>
    </row>
    <row r="106" spans="1:14">
      <c r="B106" s="2" t="s">
        <v>16</v>
      </c>
      <c r="C106" s="29">
        <f t="shared" ca="1" si="1"/>
        <v>1019.4033759146325</v>
      </c>
      <c r="D106" s="17">
        <f ca="1">Aprilie_DI!L2</f>
        <v>4.8725923252289984</v>
      </c>
      <c r="E106" s="18">
        <f t="shared" ca="1" si="2"/>
        <v>5382.5118816335316</v>
      </c>
      <c r="F106" s="18">
        <f t="shared" ca="1" si="0"/>
        <v>448.54265680279428</v>
      </c>
      <c r="G106" s="19">
        <v>575</v>
      </c>
      <c r="K106" s="1"/>
      <c r="L106" s="1"/>
      <c r="M106" s="6"/>
      <c r="N106" s="6"/>
    </row>
    <row r="107" spans="1:14">
      <c r="B107" s="2" t="s">
        <v>17</v>
      </c>
      <c r="C107" s="29">
        <f t="shared" ca="1" si="1"/>
        <v>1038.5426568027942</v>
      </c>
      <c r="D107" s="17">
        <f ca="1">May_DI!L2</f>
        <v>4.4959408234559035</v>
      </c>
      <c r="E107" s="18">
        <f t="shared" ca="1" si="2"/>
        <v>5429.2041449097323</v>
      </c>
      <c r="F107" s="18">
        <f t="shared" ca="1" si="0"/>
        <v>452.4336787424777</v>
      </c>
      <c r="G107" s="19">
        <v>590</v>
      </c>
      <c r="K107" s="1"/>
      <c r="L107" s="1"/>
      <c r="M107" s="6"/>
      <c r="N107" s="6"/>
    </row>
    <row r="108" spans="1:14">
      <c r="B108" s="2" t="s">
        <v>18</v>
      </c>
      <c r="C108" s="29">
        <f t="shared" ca="1" si="1"/>
        <v>952.4336787424777</v>
      </c>
      <c r="D108" s="17">
        <f ca="1">Iunie_DI!L2</f>
        <v>4.7097304824231179</v>
      </c>
      <c r="E108" s="18">
        <f t="shared" ca="1" si="2"/>
        <v>5474.0612042023304</v>
      </c>
      <c r="F108" s="18">
        <f t="shared" ca="1" si="0"/>
        <v>456.17176701686088</v>
      </c>
      <c r="G108" s="19">
        <v>500</v>
      </c>
      <c r="K108" s="1"/>
      <c r="L108" s="1"/>
      <c r="M108" s="6"/>
      <c r="N108" s="6"/>
    </row>
    <row r="109" spans="1:14">
      <c r="B109" s="2" t="s">
        <v>19</v>
      </c>
      <c r="C109" s="29">
        <f t="shared" ca="1" si="1"/>
        <v>1006.1717670168609</v>
      </c>
      <c r="D109" s="17">
        <f ca="1">Iulie_DI!L2</f>
        <v>5.1021422313539162</v>
      </c>
      <c r="E109" s="18">
        <f t="shared" ca="1" si="2"/>
        <v>5525.3975188472577</v>
      </c>
      <c r="F109" s="18">
        <f t="shared" ca="1" si="0"/>
        <v>460.44979323727148</v>
      </c>
      <c r="G109" s="19">
        <v>550</v>
      </c>
      <c r="K109" s="1"/>
      <c r="L109" s="1"/>
      <c r="M109" s="6"/>
      <c r="N109" s="6"/>
    </row>
    <row r="110" spans="1:14">
      <c r="B110" s="2" t="s">
        <v>8</v>
      </c>
      <c r="C110" s="29">
        <f t="shared" ca="1" si="1"/>
        <v>1005.4497932372715</v>
      </c>
      <c r="D110" s="17">
        <f ca="1">August_DI!L2</f>
        <v>4.7500824684504677</v>
      </c>
      <c r="E110" s="18">
        <f t="shared" ca="1" si="2"/>
        <v>5573.1572132048932</v>
      </c>
      <c r="F110" s="18">
        <f t="shared" ca="1" si="0"/>
        <v>464.42976776707445</v>
      </c>
      <c r="G110" s="19">
        <v>545</v>
      </c>
      <c r="K110" s="1"/>
      <c r="L110" s="1"/>
      <c r="M110" s="6"/>
      <c r="N110" s="6"/>
    </row>
    <row r="111" spans="1:14">
      <c r="B111" s="2" t="s">
        <v>9</v>
      </c>
      <c r="C111" s="29">
        <f t="shared" ca="1" si="1"/>
        <v>1014.4297677670745</v>
      </c>
      <c r="D111" s="17">
        <f ca="1">Septembrie_DI!L2</f>
        <v>4.6686267588155967</v>
      </c>
      <c r="E111" s="18">
        <f t="shared" ca="1" si="2"/>
        <v>5620.5171527922575</v>
      </c>
      <c r="F111" s="18">
        <f t="shared" ca="1" si="0"/>
        <v>468.37642939935478</v>
      </c>
      <c r="G111" s="19">
        <v>550</v>
      </c>
      <c r="K111" s="1"/>
      <c r="L111" s="1"/>
      <c r="M111" s="6"/>
      <c r="N111" s="6"/>
    </row>
    <row r="112" spans="1:14">
      <c r="B112" s="2" t="s">
        <v>10</v>
      </c>
      <c r="C112" s="29">
        <f t="shared" ca="1" si="1"/>
        <v>1073.3764293993547</v>
      </c>
      <c r="D112" s="17">
        <f ca="1">Octombrie_DI!L2</f>
        <v>4.9091288363386312</v>
      </c>
      <c r="E112" s="18">
        <f t="shared" ca="1" si="2"/>
        <v>5673.2105846103632</v>
      </c>
      <c r="F112" s="18">
        <f t="shared" ca="1" si="0"/>
        <v>472.76754871753025</v>
      </c>
      <c r="G112" s="19">
        <v>605</v>
      </c>
      <c r="K112" s="1"/>
      <c r="L112" s="1"/>
      <c r="M112" s="6"/>
      <c r="N112" s="6"/>
    </row>
    <row r="113" spans="1:14">
      <c r="B113" s="2" t="s">
        <v>11</v>
      </c>
      <c r="C113" s="29">
        <f t="shared" ca="1" si="1"/>
        <v>1027.7675487175302</v>
      </c>
      <c r="D113" s="17">
        <f ca="1">Noiembrie_DI!L2</f>
        <v>5.2053980440493355</v>
      </c>
      <c r="E113" s="18">
        <f t="shared" ca="1" si="2"/>
        <v>5726.7099764886789</v>
      </c>
      <c r="F113" s="18">
        <f t="shared" ca="1" si="0"/>
        <v>477.22583137405655</v>
      </c>
      <c r="G113" s="19">
        <v>555</v>
      </c>
      <c r="K113" s="1"/>
      <c r="L113" s="1"/>
      <c r="M113" s="6"/>
      <c r="N113" s="6"/>
    </row>
    <row r="114" spans="1:14">
      <c r="B114" s="2" t="s">
        <v>12</v>
      </c>
      <c r="C114" s="29">
        <f t="shared" ca="1" si="1"/>
        <v>1027.2258313740565</v>
      </c>
      <c r="D114" s="17">
        <f ca="1">Decembrie_DI!L2</f>
        <v>4.4647622496877357</v>
      </c>
      <c r="E114" s="18">
        <f t="shared" ca="1" si="2"/>
        <v>5772.5731676269088</v>
      </c>
      <c r="F114" s="18">
        <f t="shared" ca="1" si="0"/>
        <v>481.04776396890907</v>
      </c>
      <c r="G114" s="19">
        <v>550</v>
      </c>
      <c r="K114" s="1"/>
      <c r="L114" s="1"/>
      <c r="M114" s="6"/>
      <c r="N114" s="6"/>
    </row>
    <row r="115" spans="1:14">
      <c r="A115" s="20">
        <v>2032</v>
      </c>
      <c r="B115" s="21" t="s">
        <v>13</v>
      </c>
      <c r="C115" s="22">
        <f t="shared" ca="1" si="1"/>
        <v>1006.0477639689091</v>
      </c>
      <c r="D115" s="23">
        <f ca="1">Ianuarie_DI!L2</f>
        <v>4.3527458593130781</v>
      </c>
      <c r="E115" s="24">
        <f t="shared" ca="1" si="2"/>
        <v>5816.3638700157771</v>
      </c>
      <c r="F115" s="24">
        <f t="shared" ca="1" si="0"/>
        <v>484.69698916798143</v>
      </c>
      <c r="G115" s="25">
        <v>525</v>
      </c>
      <c r="I115" s="1"/>
      <c r="K115" s="1"/>
      <c r="L115" s="1"/>
      <c r="M115" s="6"/>
      <c r="N115" s="6"/>
    </row>
    <row r="116" spans="1:14">
      <c r="A116" s="26"/>
      <c r="B116" s="27" t="s">
        <v>14</v>
      </c>
      <c r="C116" s="22">
        <f t="shared" ca="1" si="1"/>
        <v>984.69698916798143</v>
      </c>
      <c r="D116" s="23">
        <f ca="1">Februarie_DI!L2</f>
        <v>6.0508075349858581</v>
      </c>
      <c r="E116" s="24">
        <f t="shared" ca="1" si="2"/>
        <v>5875.9459896331318</v>
      </c>
      <c r="F116" s="24">
        <f t="shared" ca="1" si="0"/>
        <v>489.66216580276097</v>
      </c>
      <c r="G116" s="25">
        <v>500</v>
      </c>
      <c r="J116" s="28"/>
      <c r="K116" s="1"/>
      <c r="L116" s="1"/>
      <c r="M116" s="6"/>
      <c r="N116" s="6"/>
    </row>
    <row r="117" spans="1:14">
      <c r="A117" s="26"/>
      <c r="B117" s="21" t="s">
        <v>15</v>
      </c>
      <c r="C117" s="22">
        <f t="shared" ca="1" si="1"/>
        <v>1029.6621658027609</v>
      </c>
      <c r="D117" s="23">
        <f ca="1">Martie_DI!L2</f>
        <v>4.3941595306949193</v>
      </c>
      <c r="E117" s="24">
        <f t="shared" ca="1" si="2"/>
        <v>5921.1909878257138</v>
      </c>
      <c r="F117" s="24">
        <f t="shared" ca="1" si="0"/>
        <v>493.43258231880947</v>
      </c>
      <c r="G117" s="25">
        <v>540</v>
      </c>
      <c r="K117" s="1"/>
      <c r="L117" s="1"/>
      <c r="M117" s="6"/>
      <c r="N117" s="6"/>
    </row>
    <row r="118" spans="1:14">
      <c r="A118" s="26"/>
      <c r="B118" s="21" t="s">
        <v>16</v>
      </c>
      <c r="C118" s="22">
        <f t="shared" ca="1" si="1"/>
        <v>1068.4325823188094</v>
      </c>
      <c r="D118" s="23">
        <f ca="1">Aprilie_DI!L2</f>
        <v>4.8725923252289984</v>
      </c>
      <c r="E118" s="24">
        <f t="shared" ca="1" si="2"/>
        <v>5973.2513518320266</v>
      </c>
      <c r="F118" s="24">
        <f t="shared" ca="1" si="0"/>
        <v>497.77094598600223</v>
      </c>
      <c r="G118" s="25">
        <v>575</v>
      </c>
      <c r="K118" s="1"/>
      <c r="L118" s="1"/>
      <c r="M118" s="6"/>
      <c r="N118" s="6"/>
    </row>
    <row r="119" spans="1:14">
      <c r="A119" s="26"/>
      <c r="B119" s="21" t="s">
        <v>17</v>
      </c>
      <c r="C119" s="22">
        <f t="shared" ca="1" si="1"/>
        <v>1087.7709459860023</v>
      </c>
      <c r="D119" s="23">
        <f ca="1">May_DI!L2</f>
        <v>4.4959408234559035</v>
      </c>
      <c r="E119" s="24">
        <f t="shared" ca="1" si="2"/>
        <v>6022.1568898583037</v>
      </c>
      <c r="F119" s="24">
        <f t="shared" ca="1" si="0"/>
        <v>501.84640748819197</v>
      </c>
      <c r="G119" s="25">
        <v>590</v>
      </c>
      <c r="K119" s="1"/>
      <c r="L119" s="1"/>
      <c r="M119" s="6"/>
      <c r="N119" s="6"/>
    </row>
    <row r="120" spans="1:14">
      <c r="A120" s="26"/>
      <c r="B120" s="21" t="s">
        <v>18</v>
      </c>
      <c r="C120" s="22">
        <f t="shared" ca="1" si="1"/>
        <v>1001.846407488192</v>
      </c>
      <c r="D120" s="23">
        <f ca="1">Iunie_DI!L2</f>
        <v>4.7097304824231179</v>
      </c>
      <c r="E120" s="24">
        <f t="shared" ca="1" si="2"/>
        <v>6069.3411554988361</v>
      </c>
      <c r="F120" s="24">
        <f t="shared" ca="1" si="0"/>
        <v>505.77842962490303</v>
      </c>
      <c r="G120" s="25">
        <v>500</v>
      </c>
      <c r="K120" s="1"/>
      <c r="L120" s="1"/>
      <c r="M120" s="6"/>
      <c r="N120" s="6"/>
    </row>
    <row r="121" spans="1:14">
      <c r="A121" s="26"/>
      <c r="B121" s="21" t="s">
        <v>19</v>
      </c>
      <c r="C121" s="22">
        <f t="shared" ca="1" si="1"/>
        <v>1055.7784296249031</v>
      </c>
      <c r="D121" s="23">
        <f ca="1">Iulie_DI!L2</f>
        <v>5.1021422313539162</v>
      </c>
      <c r="E121" s="24">
        <f t="shared" ca="1" si="2"/>
        <v>6123.2084726262538</v>
      </c>
      <c r="F121" s="24">
        <f t="shared" ca="1" si="0"/>
        <v>510.26737271885446</v>
      </c>
      <c r="G121" s="25">
        <v>550</v>
      </c>
      <c r="K121" s="1"/>
      <c r="L121" s="1"/>
      <c r="M121" s="6"/>
      <c r="N121" s="6"/>
    </row>
    <row r="122" spans="1:14">
      <c r="A122" s="26"/>
      <c r="B122" s="21" t="s">
        <v>8</v>
      </c>
      <c r="C122" s="22">
        <f t="shared" ca="1" si="1"/>
        <v>1055.2673727188544</v>
      </c>
      <c r="D122" s="23">
        <f ca="1">August_DI!L2</f>
        <v>4.7500824684504677</v>
      </c>
      <c r="E122" s="24">
        <f t="shared" ca="1" si="2"/>
        <v>6173.3345430930503</v>
      </c>
      <c r="F122" s="24">
        <f t="shared" ca="1" si="0"/>
        <v>514.44454525775416</v>
      </c>
      <c r="G122" s="25">
        <v>545</v>
      </c>
      <c r="K122" s="1"/>
      <c r="L122" s="1"/>
      <c r="M122" s="6"/>
      <c r="N122" s="6"/>
    </row>
    <row r="123" spans="1:14">
      <c r="A123" s="26"/>
      <c r="B123" s="21" t="s">
        <v>9</v>
      </c>
      <c r="C123" s="22">
        <f t="shared" ca="1" si="1"/>
        <v>1064.4445452577543</v>
      </c>
      <c r="D123" s="23">
        <f ca="1">Septembrie_DI!L2</f>
        <v>4.6686267588155967</v>
      </c>
      <c r="E123" s="24">
        <f t="shared" ca="1" si="2"/>
        <v>6223.029485965707</v>
      </c>
      <c r="F123" s="24">
        <f t="shared" ca="1" si="0"/>
        <v>518.58579049714228</v>
      </c>
      <c r="G123" s="25">
        <v>550</v>
      </c>
      <c r="K123" s="1"/>
      <c r="L123" s="1"/>
      <c r="M123" s="6"/>
      <c r="N123" s="6"/>
    </row>
    <row r="124" spans="1:14">
      <c r="A124" s="26"/>
      <c r="B124" s="21" t="s">
        <v>10</v>
      </c>
      <c r="C124" s="22">
        <f t="shared" ca="1" si="1"/>
        <v>1123.5857904971422</v>
      </c>
      <c r="D124" s="23">
        <f ca="1">Octombrie_DI!L2</f>
        <v>4.9091288363386312</v>
      </c>
      <c r="E124" s="24">
        <f t="shared" ca="1" si="2"/>
        <v>6278.1877600080052</v>
      </c>
      <c r="F124" s="24">
        <f t="shared" ca="1" si="0"/>
        <v>523.18231333400047</v>
      </c>
      <c r="G124" s="25">
        <v>605</v>
      </c>
      <c r="K124" s="1"/>
      <c r="L124" s="1"/>
      <c r="M124" s="6"/>
      <c r="N124" s="6"/>
    </row>
    <row r="125" spans="1:14">
      <c r="A125" s="26"/>
      <c r="B125" s="21" t="s">
        <v>11</v>
      </c>
      <c r="C125" s="22">
        <f t="shared" ca="1" si="1"/>
        <v>1078.1823133340004</v>
      </c>
      <c r="D125" s="23">
        <f ca="1">Noiembrie_DI!L2</f>
        <v>5.2053980440493355</v>
      </c>
      <c r="E125" s="24">
        <f t="shared" ca="1" si="2"/>
        <v>6334.311441057579</v>
      </c>
      <c r="F125" s="24">
        <f t="shared" ca="1" si="0"/>
        <v>527.85928675479829</v>
      </c>
      <c r="G125" s="25">
        <v>555</v>
      </c>
      <c r="K125" s="1"/>
      <c r="L125" s="1"/>
      <c r="M125" s="6"/>
      <c r="N125" s="6"/>
    </row>
    <row r="126" spans="1:14">
      <c r="A126" s="26"/>
      <c r="B126" s="21" t="s">
        <v>12</v>
      </c>
      <c r="C126" s="22">
        <f t="shared" ca="1" si="1"/>
        <v>1077.8592867547982</v>
      </c>
      <c r="D126" s="23">
        <f ca="1">Decembrie_DI!L2</f>
        <v>4.4647622496877357</v>
      </c>
      <c r="E126" s="24">
        <f t="shared" ca="1" si="2"/>
        <v>6382.4352955973609</v>
      </c>
      <c r="F126" s="24">
        <f t="shared" ca="1" si="0"/>
        <v>531.86960796644678</v>
      </c>
      <c r="G126" s="25">
        <v>550</v>
      </c>
      <c r="J126" s="2"/>
      <c r="K126" s="1"/>
      <c r="L126" s="1"/>
      <c r="M126" s="6"/>
      <c r="N126" s="6"/>
    </row>
    <row r="127" spans="1:14">
      <c r="A127" s="1">
        <v>2033</v>
      </c>
      <c r="B127" s="2" t="s">
        <v>13</v>
      </c>
      <c r="C127" s="29">
        <f t="shared" ca="1" si="1"/>
        <v>1056.8696079664469</v>
      </c>
      <c r="D127" s="17">
        <f ca="1">Ianuarie_DI!L2</f>
        <v>4.3527458593130781</v>
      </c>
      <c r="E127" s="18">
        <f t="shared" ca="1" si="2"/>
        <v>6428.4381436964586</v>
      </c>
      <c r="F127" s="18">
        <f t="shared" ca="1" si="0"/>
        <v>535.70317864137155</v>
      </c>
      <c r="G127" s="19">
        <v>525</v>
      </c>
      <c r="I127" s="1"/>
      <c r="K127" s="1"/>
      <c r="L127" s="1"/>
      <c r="M127" s="6"/>
      <c r="N127" s="6"/>
    </row>
    <row r="128" spans="1:14">
      <c r="B128" s="28" t="s">
        <v>14</v>
      </c>
      <c r="C128" s="29">
        <f t="shared" ca="1" si="1"/>
        <v>1035.7031786413716</v>
      </c>
      <c r="D128" s="17">
        <f ca="1">Februarie_DI!L2</f>
        <v>6.0508075349858581</v>
      </c>
      <c r="E128" s="18">
        <f t="shared" ca="1" si="2"/>
        <v>6491.1065496697784</v>
      </c>
      <c r="F128" s="18">
        <f t="shared" ca="1" si="0"/>
        <v>540.92554580581486</v>
      </c>
      <c r="G128" s="19">
        <v>500</v>
      </c>
      <c r="J128" s="28"/>
      <c r="K128" s="1"/>
      <c r="L128" s="1"/>
      <c r="M128" s="6"/>
      <c r="N128" s="6"/>
    </row>
    <row r="129" spans="1:14">
      <c r="B129" s="2" t="s">
        <v>15</v>
      </c>
      <c r="C129" s="29">
        <f t="shared" ca="1" si="1"/>
        <v>1080.9255458058149</v>
      </c>
      <c r="D129" s="17">
        <f ca="1">Martie_DI!L2</f>
        <v>4.3941595306949193</v>
      </c>
      <c r="E129" s="18">
        <f t="shared" ca="1" si="2"/>
        <v>6538.6041425605208</v>
      </c>
      <c r="F129" s="18">
        <f t="shared" ca="1" si="0"/>
        <v>544.88367854671003</v>
      </c>
      <c r="G129" s="19">
        <v>540</v>
      </c>
      <c r="K129" s="1"/>
      <c r="L129" s="1"/>
      <c r="M129" s="6"/>
      <c r="N129" s="6"/>
    </row>
    <row r="130" spans="1:14">
      <c r="B130" s="2" t="s">
        <v>16</v>
      </c>
      <c r="C130" s="29">
        <f t="shared" ca="1" si="1"/>
        <v>1119.8836785467101</v>
      </c>
      <c r="D130" s="17">
        <f ca="1">Aprilie_DI!L2</f>
        <v>4.8725923252289984</v>
      </c>
      <c r="E130" s="18">
        <f t="shared" ca="1" si="2"/>
        <v>6593.1715087328803</v>
      </c>
      <c r="F130" s="18">
        <f t="shared" ca="1" si="0"/>
        <v>549.43095906107339</v>
      </c>
      <c r="G130" s="19">
        <v>575</v>
      </c>
      <c r="K130" s="1"/>
      <c r="L130" s="1"/>
      <c r="M130" s="6"/>
      <c r="N130" s="6"/>
    </row>
    <row r="131" spans="1:14">
      <c r="B131" s="2" t="s">
        <v>17</v>
      </c>
      <c r="C131" s="29">
        <f t="shared" ca="1" si="1"/>
        <v>1139.4309590610733</v>
      </c>
      <c r="D131" s="17">
        <f ca="1">May_DI!L2</f>
        <v>4.4959408234559035</v>
      </c>
      <c r="E131" s="18">
        <f t="shared" ca="1" si="2"/>
        <v>6644.399650376402</v>
      </c>
      <c r="F131" s="18">
        <f t="shared" ca="1" si="0"/>
        <v>553.69997086470016</v>
      </c>
      <c r="G131" s="19">
        <v>590</v>
      </c>
      <c r="K131" s="1"/>
      <c r="L131" s="1"/>
      <c r="M131" s="6"/>
      <c r="N131" s="6"/>
    </row>
    <row r="132" spans="1:14">
      <c r="B132" s="2" t="s">
        <v>18</v>
      </c>
      <c r="C132" s="29">
        <f t="shared" ca="1" si="1"/>
        <v>1053.6999708647002</v>
      </c>
      <c r="D132" s="17">
        <f ca="1">Iunie_DI!L2</f>
        <v>4.7097304824231179</v>
      </c>
      <c r="E132" s="18">
        <f t="shared" ca="1" si="2"/>
        <v>6694.0260790974999</v>
      </c>
      <c r="F132" s="18">
        <f t="shared" ca="1" si="0"/>
        <v>557.83550659145828</v>
      </c>
      <c r="G132" s="19">
        <v>500</v>
      </c>
      <c r="K132" s="1"/>
      <c r="L132" s="1"/>
      <c r="M132" s="6"/>
      <c r="N132" s="6"/>
    </row>
    <row r="133" spans="1:14">
      <c r="B133" s="2" t="s">
        <v>19</v>
      </c>
      <c r="C133" s="29">
        <f t="shared" ca="1" si="1"/>
        <v>1107.8355065914584</v>
      </c>
      <c r="D133" s="17">
        <f ca="1">Iulie_DI!L2</f>
        <v>5.1021422313539162</v>
      </c>
      <c r="E133" s="18">
        <f t="shared" ca="1" si="2"/>
        <v>6750.5494223332362</v>
      </c>
      <c r="F133" s="18">
        <f t="shared" ca="1" si="0"/>
        <v>562.54578519443635</v>
      </c>
      <c r="G133" s="19">
        <v>550</v>
      </c>
      <c r="K133" s="1"/>
      <c r="L133" s="1"/>
      <c r="M133" s="6"/>
      <c r="N133" s="6"/>
    </row>
    <row r="134" spans="1:14">
      <c r="B134" s="2" t="s">
        <v>8</v>
      </c>
      <c r="C134" s="29">
        <f t="shared" ca="1" si="1"/>
        <v>1107.5457851944363</v>
      </c>
      <c r="D134" s="17">
        <f ca="1">August_DI!L2</f>
        <v>4.7500824684504677</v>
      </c>
      <c r="E134" s="18">
        <f t="shared" ca="1" si="2"/>
        <v>6803.1587605058194</v>
      </c>
      <c r="F134" s="18">
        <f t="shared" ca="1" si="0"/>
        <v>566.92989670881832</v>
      </c>
      <c r="G134" s="19">
        <v>545</v>
      </c>
      <c r="K134" s="1"/>
      <c r="L134" s="1"/>
      <c r="M134" s="6"/>
      <c r="N134" s="6"/>
    </row>
    <row r="135" spans="1:14">
      <c r="B135" s="2" t="s">
        <v>9</v>
      </c>
      <c r="C135" s="29">
        <f t="shared" ca="1" si="1"/>
        <v>1116.9298967088184</v>
      </c>
      <c r="D135" s="17">
        <f ca="1">Septembrie_DI!L2</f>
        <v>4.6686267588155967</v>
      </c>
      <c r="E135" s="18">
        <f t="shared" ca="1" si="2"/>
        <v>6855.3040485407782</v>
      </c>
      <c r="F135" s="18">
        <f t="shared" ca="1" si="0"/>
        <v>571.27533737839815</v>
      </c>
      <c r="G135" s="19">
        <v>550</v>
      </c>
      <c r="K135" s="1"/>
      <c r="L135" s="1"/>
      <c r="M135" s="6"/>
      <c r="N135" s="6"/>
    </row>
    <row r="136" spans="1:14">
      <c r="B136" s="2" t="s">
        <v>10</v>
      </c>
      <c r="C136" s="29">
        <f t="shared" ca="1" si="1"/>
        <v>1176.275337378398</v>
      </c>
      <c r="D136" s="17">
        <f ca="1">Octombrie_DI!L2</f>
        <v>4.9091288363386312</v>
      </c>
      <c r="E136" s="18">
        <f t="shared" ca="1" si="2"/>
        <v>6913.0489203227608</v>
      </c>
      <c r="F136" s="18">
        <f t="shared" ca="1" si="0"/>
        <v>576.08741002689669</v>
      </c>
      <c r="G136" s="19">
        <v>605</v>
      </c>
      <c r="K136" s="1"/>
      <c r="L136" s="1"/>
      <c r="M136" s="6"/>
      <c r="N136" s="6"/>
    </row>
    <row r="137" spans="1:14">
      <c r="B137" s="2" t="s">
        <v>11</v>
      </c>
      <c r="C137" s="29">
        <f t="shared" ca="1" si="1"/>
        <v>1131.0874100268966</v>
      </c>
      <c r="D137" s="17">
        <f ca="1">Noiembrie_DI!L2</f>
        <v>5.2053980440493355</v>
      </c>
      <c r="E137" s="18">
        <f t="shared" ca="1" si="2"/>
        <v>6971.9265222407894</v>
      </c>
      <c r="F137" s="18">
        <f t="shared" ca="1" si="0"/>
        <v>580.99387685339912</v>
      </c>
      <c r="G137" s="19">
        <v>555</v>
      </c>
      <c r="K137" s="1"/>
      <c r="L137" s="1"/>
      <c r="M137" s="6"/>
      <c r="N137" s="6"/>
    </row>
    <row r="138" spans="1:14">
      <c r="B138" s="2" t="s">
        <v>12</v>
      </c>
      <c r="C138" s="29">
        <f t="shared" ca="1" si="1"/>
        <v>1130.9938768533991</v>
      </c>
      <c r="D138" s="17">
        <f ca="1">Decembrie_DI!L2</f>
        <v>4.4647622496877357</v>
      </c>
      <c r="E138" s="18">
        <f t="shared" ca="1" si="2"/>
        <v>7022.4227099008194</v>
      </c>
      <c r="F138" s="18">
        <f t="shared" ca="1" si="0"/>
        <v>585.20189249173495</v>
      </c>
      <c r="G138" s="19">
        <v>550</v>
      </c>
      <c r="K138" s="1"/>
      <c r="L138" s="1"/>
      <c r="M138" s="6"/>
      <c r="N138" s="6"/>
    </row>
    <row r="139" spans="1:14">
      <c r="A139" s="35" t="s">
        <v>22</v>
      </c>
      <c r="B139" s="36"/>
      <c r="C139" s="37">
        <f ca="1">SUM(C1:C138)</f>
        <v>146105.3503344013</v>
      </c>
      <c r="D139" s="37"/>
      <c r="E139" s="38"/>
      <c r="F139" s="38"/>
      <c r="G139" s="39">
        <f>SUM(G1:G138)</f>
        <v>108897</v>
      </c>
      <c r="I139" s="1"/>
      <c r="K139" s="1"/>
      <c r="L139" s="1"/>
      <c r="M139" s="6"/>
      <c r="N139" s="6"/>
    </row>
    <row r="140" spans="1:14">
      <c r="B140" s="28"/>
      <c r="C140" s="1"/>
      <c r="D140" s="1"/>
      <c r="E140" s="6"/>
      <c r="F140" s="6"/>
      <c r="J140" s="28"/>
      <c r="K140" s="1"/>
      <c r="L140" s="1"/>
      <c r="M140" s="6"/>
      <c r="N140" s="6"/>
    </row>
    <row r="141" spans="1:14">
      <c r="B141" s="2"/>
      <c r="C141" s="1"/>
      <c r="D141" s="1"/>
      <c r="E141" s="6"/>
      <c r="F141" s="6"/>
      <c r="K141" s="1"/>
      <c r="L141" s="1"/>
      <c r="M141" s="6"/>
      <c r="N141" s="6"/>
    </row>
    <row r="142" spans="1:14">
      <c r="B142" s="2"/>
      <c r="C142" s="1"/>
      <c r="D142" s="1"/>
      <c r="E142" s="6"/>
      <c r="F142" s="6"/>
      <c r="K142" s="1"/>
      <c r="L142" s="1"/>
      <c r="M142" s="6"/>
      <c r="N142" s="6"/>
    </row>
    <row r="143" spans="1:14">
      <c r="B143" s="2"/>
      <c r="C143" s="1"/>
      <c r="D143" s="1"/>
      <c r="E143" s="6"/>
      <c r="F143" s="6"/>
      <c r="K143" s="1"/>
      <c r="L143" s="1"/>
      <c r="M143" s="6"/>
      <c r="N143" s="6"/>
    </row>
    <row r="144" spans="1:14">
      <c r="B144" s="2"/>
      <c r="C144" s="1"/>
      <c r="D144" s="1"/>
      <c r="E144" s="6"/>
      <c r="F144" s="6"/>
      <c r="K144" s="1"/>
      <c r="L144" s="1"/>
      <c r="M144" s="6"/>
      <c r="N144" s="6"/>
    </row>
    <row r="145" spans="1:14">
      <c r="B145" s="2"/>
      <c r="C145" s="1"/>
      <c r="D145" s="1"/>
      <c r="E145" s="6"/>
      <c r="F145" s="6"/>
      <c r="K145" s="1"/>
      <c r="L145" s="1"/>
      <c r="M145" s="6"/>
      <c r="N145" s="6"/>
    </row>
    <row r="146" spans="1:14">
      <c r="B146" s="2"/>
      <c r="C146" s="1"/>
      <c r="D146" s="1"/>
      <c r="E146" s="6"/>
      <c r="F146" s="6"/>
      <c r="K146" s="1"/>
      <c r="L146" s="1"/>
      <c r="M146" s="6"/>
      <c r="N146" s="6"/>
    </row>
    <row r="147" spans="1:14">
      <c r="B147" s="2"/>
      <c r="C147" s="1"/>
      <c r="D147" s="1"/>
      <c r="E147" s="6"/>
      <c r="F147" s="6"/>
      <c r="K147" s="1"/>
      <c r="L147" s="1"/>
      <c r="M147" s="6"/>
      <c r="N147" s="6"/>
    </row>
    <row r="148" spans="1:14">
      <c r="B148" s="2"/>
      <c r="C148" s="1"/>
      <c r="D148" s="1"/>
      <c r="E148" s="6"/>
      <c r="F148" s="6"/>
      <c r="K148" s="1"/>
      <c r="L148" s="1"/>
      <c r="M148" s="6"/>
      <c r="N148" s="6"/>
    </row>
    <row r="149" spans="1:14">
      <c r="B149" s="2"/>
      <c r="C149" s="1"/>
      <c r="D149" s="1"/>
      <c r="E149" s="6"/>
      <c r="F149" s="6"/>
      <c r="K149" s="1"/>
      <c r="L149" s="1"/>
      <c r="M149" s="6"/>
      <c r="N149" s="6"/>
    </row>
    <row r="150" spans="1:14">
      <c r="B150" s="2"/>
      <c r="C150" s="1"/>
      <c r="D150" s="1"/>
      <c r="E150" s="6"/>
      <c r="F150" s="6"/>
      <c r="K150" s="1"/>
      <c r="L150" s="1"/>
      <c r="M150" s="6"/>
      <c r="N150" s="6"/>
    </row>
    <row r="151" spans="1:14">
      <c r="A151" s="1"/>
      <c r="C151" s="1"/>
      <c r="D151" s="1"/>
      <c r="E151" s="6"/>
      <c r="F151" s="6"/>
      <c r="I151" s="1"/>
      <c r="K151" s="1"/>
      <c r="L151" s="1"/>
      <c r="M151" s="6"/>
      <c r="N151" s="6"/>
    </row>
    <row r="152" spans="1:14">
      <c r="B152" s="28"/>
      <c r="C152" s="1"/>
      <c r="D152" s="1"/>
      <c r="E152" s="6"/>
      <c r="F152" s="6"/>
      <c r="J152" s="28"/>
      <c r="K152" s="1"/>
      <c r="L152" s="1"/>
      <c r="M152" s="6"/>
      <c r="N152" s="6"/>
    </row>
    <row r="153" spans="1:14">
      <c r="C153" s="1"/>
      <c r="D153" s="1"/>
      <c r="E153" s="6"/>
      <c r="F153" s="6"/>
      <c r="K153" s="1"/>
      <c r="L153" s="1"/>
      <c r="M153" s="6"/>
      <c r="N153" s="6"/>
    </row>
    <row r="154" spans="1:14">
      <c r="C154" s="1"/>
      <c r="D154" s="1"/>
      <c r="E154" s="6"/>
      <c r="F154" s="6"/>
      <c r="K154" s="1"/>
      <c r="L154" s="1"/>
      <c r="M154" s="6"/>
      <c r="N154" s="6"/>
    </row>
    <row r="155" spans="1:14">
      <c r="C155" s="1"/>
      <c r="D155" s="1"/>
      <c r="E155" s="6"/>
      <c r="F155" s="6"/>
      <c r="K155" s="1"/>
      <c r="L155" s="1"/>
      <c r="M155" s="6"/>
      <c r="N155" s="6"/>
    </row>
    <row r="156" spans="1:14">
      <c r="C156" s="1"/>
      <c r="D156" s="1"/>
      <c r="E156" s="6"/>
      <c r="F156" s="6"/>
      <c r="K156" s="1"/>
      <c r="L156" s="1"/>
      <c r="M156" s="6"/>
      <c r="N156" s="6"/>
    </row>
    <row r="157" spans="1:14">
      <c r="C157" s="1"/>
      <c r="D157" s="1"/>
      <c r="E157" s="6"/>
      <c r="F157" s="6"/>
      <c r="K157" s="1"/>
      <c r="L157" s="1"/>
      <c r="M157" s="6"/>
      <c r="N157" s="6"/>
    </row>
    <row r="158" spans="1:14">
      <c r="C158" s="1"/>
      <c r="D158" s="1"/>
      <c r="E158" s="6"/>
      <c r="F158" s="6"/>
      <c r="K158" s="1"/>
      <c r="L158" s="1"/>
      <c r="M158" s="6"/>
      <c r="N158" s="6"/>
    </row>
    <row r="159" spans="1:14">
      <c r="C159" s="1"/>
      <c r="D159" s="1"/>
      <c r="E159" s="6"/>
      <c r="F159" s="6"/>
      <c r="K159" s="1"/>
      <c r="L159" s="1"/>
      <c r="M159" s="6"/>
      <c r="N159" s="6"/>
    </row>
    <row r="160" spans="1:14">
      <c r="C160" s="1"/>
      <c r="D160" s="1"/>
      <c r="E160" s="6"/>
      <c r="F160" s="6"/>
      <c r="K160" s="1"/>
      <c r="L160" s="1"/>
      <c r="M160" s="6"/>
      <c r="N160" s="6"/>
    </row>
    <row r="161" spans="1:14">
      <c r="C161" s="1"/>
      <c r="D161" s="1"/>
      <c r="E161" s="6"/>
      <c r="F161" s="6"/>
      <c r="K161" s="1"/>
      <c r="L161" s="1"/>
      <c r="M161" s="6"/>
      <c r="N161" s="6"/>
    </row>
    <row r="162" spans="1:14">
      <c r="C162" s="1"/>
      <c r="D162" s="1"/>
      <c r="E162" s="6"/>
      <c r="F162" s="6"/>
      <c r="K162" s="1"/>
      <c r="L162" s="1"/>
      <c r="M162" s="6"/>
      <c r="N162" s="6"/>
    </row>
    <row r="163" spans="1:14">
      <c r="A163" s="1"/>
      <c r="B163" s="2"/>
      <c r="C163" s="1"/>
      <c r="D163" s="1"/>
      <c r="E163" s="6"/>
      <c r="F163" s="6"/>
      <c r="I163" s="1"/>
      <c r="K163" s="1"/>
      <c r="L163" s="1"/>
      <c r="M163" s="6"/>
      <c r="N163" s="6"/>
    </row>
    <row r="164" spans="1:14">
      <c r="B164" s="28"/>
      <c r="C164" s="1"/>
      <c r="D164" s="1"/>
      <c r="E164" s="6"/>
      <c r="F164" s="6"/>
      <c r="J164" s="28"/>
      <c r="K164" s="1"/>
      <c r="L164" s="1"/>
      <c r="M164" s="6"/>
      <c r="N164" s="6"/>
    </row>
    <row r="165" spans="1:14">
      <c r="B165" s="2"/>
      <c r="C165" s="1"/>
      <c r="D165" s="1"/>
      <c r="E165" s="6"/>
      <c r="F165" s="6"/>
      <c r="K165" s="1"/>
      <c r="L165" s="1"/>
      <c r="M165" s="6"/>
      <c r="N165" s="6"/>
    </row>
    <row r="166" spans="1:14">
      <c r="B166" s="2"/>
      <c r="C166" s="1"/>
      <c r="D166" s="1"/>
      <c r="E166" s="6"/>
      <c r="F166" s="6"/>
      <c r="K166" s="1"/>
      <c r="L166" s="1"/>
      <c r="M166" s="6"/>
      <c r="N166" s="6"/>
    </row>
    <row r="167" spans="1:14">
      <c r="B167" s="2"/>
      <c r="C167" s="1"/>
      <c r="D167" s="1"/>
      <c r="E167" s="6"/>
      <c r="F167" s="6"/>
      <c r="K167" s="1"/>
      <c r="L167" s="1"/>
      <c r="M167" s="6"/>
      <c r="N167" s="6"/>
    </row>
    <row r="168" spans="1:14">
      <c r="B168" s="2"/>
      <c r="C168" s="1"/>
      <c r="D168" s="1"/>
      <c r="E168" s="6"/>
      <c r="F168" s="6"/>
      <c r="K168" s="1"/>
      <c r="L168" s="1"/>
      <c r="M168" s="6"/>
      <c r="N168" s="6"/>
    </row>
    <row r="169" spans="1:14">
      <c r="B169" s="2"/>
      <c r="C169" s="1"/>
      <c r="D169" s="1"/>
      <c r="E169" s="6"/>
      <c r="F169" s="6"/>
      <c r="K169" s="1"/>
      <c r="L169" s="1"/>
      <c r="M169" s="6"/>
      <c r="N169" s="6"/>
    </row>
    <row r="170" spans="1:14">
      <c r="B170" s="2"/>
      <c r="C170" s="1"/>
      <c r="D170" s="1"/>
      <c r="E170" s="6"/>
      <c r="F170" s="6"/>
      <c r="K170" s="1"/>
      <c r="L170" s="1"/>
      <c r="M170" s="6"/>
      <c r="N170" s="6"/>
    </row>
    <row r="171" spans="1:14">
      <c r="B171" s="2"/>
      <c r="C171" s="1"/>
      <c r="D171" s="1"/>
      <c r="E171" s="6"/>
      <c r="F171" s="6"/>
      <c r="K171" s="1"/>
      <c r="L171" s="1"/>
      <c r="M171" s="6"/>
      <c r="N171" s="6"/>
    </row>
    <row r="172" spans="1:14">
      <c r="B172" s="2"/>
      <c r="C172" s="1"/>
      <c r="D172" s="1"/>
      <c r="E172" s="6"/>
      <c r="F172" s="6"/>
      <c r="K172" s="1"/>
      <c r="L172" s="1"/>
      <c r="M172" s="6"/>
      <c r="N172" s="6"/>
    </row>
    <row r="173" spans="1:14">
      <c r="B173" s="2"/>
      <c r="C173" s="1"/>
      <c r="D173" s="1"/>
      <c r="E173" s="6"/>
      <c r="F173" s="6"/>
      <c r="K173" s="1"/>
      <c r="L173" s="1"/>
      <c r="M173" s="6"/>
      <c r="N173" s="6"/>
    </row>
    <row r="174" spans="1:14">
      <c r="B174" s="2"/>
      <c r="C174" s="1"/>
      <c r="D174" s="1"/>
      <c r="E174" s="6"/>
      <c r="F174" s="6"/>
      <c r="K174" s="1"/>
      <c r="L174" s="1"/>
      <c r="M174" s="6"/>
      <c r="N174" s="6"/>
    </row>
    <row r="175" spans="1:14">
      <c r="A175" s="1"/>
      <c r="C175" s="1"/>
      <c r="D175" s="1"/>
      <c r="E175" s="6"/>
      <c r="F175" s="6"/>
      <c r="I175" s="1"/>
      <c r="K175" s="1"/>
      <c r="L175" s="1"/>
      <c r="M175" s="6"/>
      <c r="N175" s="6"/>
    </row>
    <row r="176" spans="1:14">
      <c r="B176" s="28"/>
      <c r="C176" s="1"/>
      <c r="D176" s="1"/>
      <c r="E176" s="6"/>
      <c r="F176" s="6"/>
      <c r="J176" s="28"/>
      <c r="K176" s="1"/>
      <c r="L176" s="1"/>
      <c r="M176" s="6"/>
      <c r="N176" s="6"/>
    </row>
    <row r="177" spans="1:27">
      <c r="C177" s="1"/>
      <c r="D177" s="1"/>
      <c r="E177" s="6"/>
      <c r="F177" s="6"/>
      <c r="K177" s="1"/>
      <c r="L177" s="1"/>
      <c r="M177" s="6"/>
      <c r="N177" s="6"/>
    </row>
    <row r="178" spans="1:27">
      <c r="C178" s="1"/>
      <c r="D178" s="1"/>
      <c r="E178" s="6"/>
      <c r="F178" s="6"/>
      <c r="K178" s="1"/>
      <c r="L178" s="1"/>
      <c r="M178" s="6"/>
      <c r="N178" s="6"/>
    </row>
    <row r="179" spans="1:27">
      <c r="C179" s="1"/>
      <c r="D179" s="1"/>
      <c r="E179" s="6"/>
      <c r="F179" s="6"/>
      <c r="K179" s="1"/>
      <c r="L179" s="1"/>
      <c r="M179" s="6"/>
      <c r="N179" s="6"/>
    </row>
    <row r="180" spans="1:27">
      <c r="C180" s="1"/>
      <c r="D180" s="1"/>
      <c r="E180" s="6"/>
      <c r="F180" s="6"/>
      <c r="K180" s="1"/>
      <c r="L180" s="1"/>
      <c r="M180" s="6"/>
      <c r="N180" s="6"/>
    </row>
    <row r="181" spans="1:27">
      <c r="C181" s="1"/>
      <c r="D181" s="1"/>
      <c r="E181" s="6"/>
      <c r="F181" s="6"/>
      <c r="K181" s="1"/>
      <c r="L181" s="1"/>
      <c r="M181" s="6"/>
      <c r="N181" s="6"/>
    </row>
    <row r="182" spans="1:27">
      <c r="C182" s="1"/>
      <c r="D182" s="1"/>
      <c r="E182" s="6"/>
      <c r="F182" s="6"/>
      <c r="K182" s="1"/>
      <c r="L182" s="1"/>
      <c r="M182" s="6"/>
      <c r="N182" s="6"/>
    </row>
    <row r="183" spans="1:27">
      <c r="C183" s="1"/>
      <c r="D183" s="1"/>
      <c r="E183" s="6"/>
      <c r="F183" s="6"/>
      <c r="K183" s="1"/>
      <c r="L183" s="1"/>
      <c r="M183" s="6"/>
      <c r="N183" s="6"/>
    </row>
    <row r="184" spans="1:27">
      <c r="C184" s="1"/>
      <c r="D184" s="1"/>
      <c r="E184" s="6"/>
      <c r="F184" s="6"/>
      <c r="K184" s="1"/>
      <c r="L184" s="1"/>
      <c r="M184" s="6"/>
      <c r="N184" s="6"/>
    </row>
    <row r="185" spans="1:27">
      <c r="C185" s="1"/>
      <c r="D185" s="1"/>
      <c r="E185" s="6"/>
      <c r="F185" s="6"/>
      <c r="K185" s="1"/>
      <c r="L185" s="1"/>
      <c r="M185" s="6"/>
      <c r="N185" s="6"/>
    </row>
    <row r="186" spans="1:27">
      <c r="A186" s="30"/>
      <c r="B186" s="31"/>
      <c r="C186" s="1"/>
      <c r="D186" s="33"/>
      <c r="E186" s="34"/>
      <c r="F186" s="34"/>
      <c r="H186" s="30"/>
      <c r="I186" s="30"/>
      <c r="J186" s="31"/>
      <c r="K186" s="33"/>
      <c r="L186" s="33"/>
      <c r="M186" s="34"/>
      <c r="N186" s="34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>
      <c r="A187" s="1"/>
      <c r="B187" s="2"/>
      <c r="C187" s="1"/>
      <c r="D187" s="1"/>
      <c r="E187" s="6"/>
      <c r="F187" s="6"/>
      <c r="I187" s="1"/>
      <c r="K187" s="1"/>
      <c r="L187" s="1"/>
      <c r="M187" s="6"/>
      <c r="N187" s="6"/>
    </row>
    <row r="188" spans="1:27">
      <c r="B188" s="28"/>
      <c r="C188" s="1"/>
      <c r="D188" s="1"/>
      <c r="E188" s="6"/>
      <c r="F188" s="6"/>
      <c r="J188" s="28"/>
      <c r="K188" s="1"/>
      <c r="L188" s="1"/>
      <c r="M188" s="6"/>
      <c r="N188" s="6"/>
    </row>
    <row r="189" spans="1:27">
      <c r="B189" s="2"/>
      <c r="C189" s="1"/>
      <c r="D189" s="1"/>
      <c r="E189" s="6"/>
      <c r="F189" s="6"/>
      <c r="K189" s="1"/>
      <c r="L189" s="1"/>
      <c r="M189" s="6"/>
      <c r="N189" s="6"/>
    </row>
    <row r="190" spans="1:27">
      <c r="B190" s="2"/>
      <c r="C190" s="1"/>
      <c r="D190" s="1"/>
      <c r="E190" s="6"/>
      <c r="F190" s="6"/>
      <c r="K190" s="1"/>
      <c r="L190" s="1"/>
      <c r="M190" s="6"/>
      <c r="N190" s="6"/>
    </row>
    <row r="191" spans="1:27">
      <c r="B191" s="2"/>
      <c r="C191" s="1"/>
      <c r="D191" s="1"/>
      <c r="E191" s="6"/>
      <c r="F191" s="6"/>
      <c r="K191" s="1"/>
      <c r="L191" s="1"/>
      <c r="M191" s="6"/>
      <c r="N191" s="6"/>
    </row>
    <row r="192" spans="1:27">
      <c r="B192" s="2"/>
      <c r="C192" s="1"/>
      <c r="D192" s="1"/>
      <c r="E192" s="6"/>
      <c r="F192" s="6"/>
      <c r="K192" s="1"/>
      <c r="L192" s="1"/>
      <c r="M192" s="6"/>
      <c r="N192" s="6"/>
    </row>
    <row r="193" spans="1:14">
      <c r="B193" s="2"/>
      <c r="C193" s="1"/>
      <c r="D193" s="1"/>
      <c r="E193" s="6"/>
      <c r="F193" s="6"/>
      <c r="K193" s="1"/>
      <c r="L193" s="1"/>
      <c r="M193" s="6"/>
      <c r="N193" s="6"/>
    </row>
    <row r="194" spans="1:14">
      <c r="B194" s="2"/>
      <c r="C194" s="1"/>
      <c r="D194" s="1"/>
      <c r="E194" s="6"/>
      <c r="F194" s="6"/>
      <c r="K194" s="1"/>
      <c r="L194" s="1"/>
      <c r="M194" s="6"/>
      <c r="N194" s="6"/>
    </row>
    <row r="195" spans="1:14">
      <c r="B195" s="2"/>
      <c r="C195" s="1"/>
      <c r="D195" s="1"/>
      <c r="E195" s="6"/>
      <c r="F195" s="6"/>
      <c r="K195" s="1"/>
      <c r="L195" s="1"/>
      <c r="M195" s="6"/>
      <c r="N195" s="6"/>
    </row>
    <row r="196" spans="1:14">
      <c r="B196" s="2"/>
      <c r="C196" s="1"/>
      <c r="D196" s="1"/>
      <c r="E196" s="6"/>
      <c r="F196" s="6"/>
      <c r="K196" s="1"/>
      <c r="L196" s="1"/>
      <c r="M196" s="6"/>
      <c r="N196" s="6"/>
    </row>
    <row r="197" spans="1:14">
      <c r="B197" s="2"/>
      <c r="C197" s="1"/>
      <c r="D197" s="1"/>
      <c r="E197" s="6"/>
      <c r="F197" s="6"/>
      <c r="K197" s="1"/>
      <c r="L197" s="1"/>
      <c r="M197" s="6"/>
      <c r="N197" s="6"/>
    </row>
    <row r="198" spans="1:14">
      <c r="B198" s="2"/>
      <c r="C198" s="1"/>
      <c r="D198" s="1"/>
      <c r="E198" s="6"/>
      <c r="F198" s="6"/>
      <c r="K198" s="1"/>
      <c r="L198" s="1"/>
      <c r="M198" s="6"/>
      <c r="N198" s="6"/>
    </row>
    <row r="199" spans="1:14">
      <c r="A199" s="1"/>
      <c r="C199" s="1"/>
      <c r="D199" s="1"/>
      <c r="E199" s="6"/>
      <c r="F199" s="6"/>
      <c r="I199" s="1"/>
      <c r="K199" s="1"/>
      <c r="L199" s="1"/>
      <c r="M199" s="6"/>
      <c r="N199" s="6"/>
    </row>
    <row r="200" spans="1:14">
      <c r="B200" s="28"/>
      <c r="C200" s="1"/>
      <c r="D200" s="1"/>
      <c r="E200" s="6"/>
      <c r="F200" s="6"/>
      <c r="J200" s="28"/>
      <c r="K200" s="1"/>
      <c r="L200" s="1"/>
      <c r="M200" s="6"/>
      <c r="N200" s="6"/>
    </row>
    <row r="201" spans="1:14">
      <c r="C201" s="1"/>
      <c r="D201" s="1"/>
      <c r="E201" s="6"/>
      <c r="F201" s="6"/>
      <c r="K201" s="1"/>
      <c r="L201" s="1"/>
      <c r="M201" s="6"/>
      <c r="N201" s="6"/>
    </row>
    <row r="202" spans="1:14">
      <c r="C202" s="1"/>
      <c r="D202" s="1"/>
      <c r="E202" s="6"/>
      <c r="F202" s="6"/>
      <c r="K202" s="1"/>
      <c r="L202" s="1"/>
      <c r="M202" s="6"/>
      <c r="N202" s="6"/>
    </row>
    <row r="203" spans="1:14">
      <c r="C203" s="1"/>
      <c r="D203" s="1"/>
      <c r="E203" s="6"/>
      <c r="F203" s="6"/>
      <c r="K203" s="1"/>
      <c r="L203" s="1"/>
      <c r="M203" s="6"/>
      <c r="N203" s="6"/>
    </row>
    <row r="204" spans="1:14">
      <c r="C204" s="1"/>
      <c r="D204" s="1"/>
      <c r="E204" s="6"/>
      <c r="F204" s="6"/>
      <c r="K204" s="1"/>
      <c r="L204" s="1"/>
      <c r="M204" s="6"/>
      <c r="N204" s="6"/>
    </row>
    <row r="205" spans="1:14">
      <c r="C205" s="1"/>
      <c r="D205" s="1"/>
      <c r="E205" s="6"/>
      <c r="F205" s="6"/>
      <c r="K205" s="1"/>
      <c r="L205" s="1"/>
      <c r="M205" s="6"/>
      <c r="N205" s="6"/>
    </row>
    <row r="206" spans="1:14">
      <c r="C206" s="1"/>
      <c r="D206" s="1"/>
      <c r="E206" s="6"/>
      <c r="F206" s="6"/>
      <c r="K206" s="1"/>
      <c r="L206" s="1"/>
      <c r="M206" s="6"/>
      <c r="N206" s="6"/>
    </row>
    <row r="207" spans="1:14">
      <c r="C207" s="1"/>
      <c r="D207" s="1"/>
      <c r="E207" s="6"/>
      <c r="F207" s="6"/>
      <c r="K207" s="1"/>
      <c r="L207" s="1"/>
      <c r="M207" s="6"/>
      <c r="N207" s="6"/>
    </row>
    <row r="208" spans="1:14">
      <c r="C208" s="1"/>
      <c r="D208" s="1"/>
      <c r="E208" s="6"/>
      <c r="F208" s="6"/>
      <c r="K208" s="1"/>
      <c r="L208" s="1"/>
      <c r="M208" s="6"/>
      <c r="N208" s="6"/>
    </row>
    <row r="209" spans="1:14">
      <c r="C209" s="1"/>
      <c r="D209" s="1"/>
      <c r="E209" s="6"/>
      <c r="F209" s="6"/>
      <c r="K209" s="1"/>
      <c r="L209" s="1"/>
      <c r="M209" s="6"/>
      <c r="N209" s="6"/>
    </row>
    <row r="210" spans="1:14">
      <c r="C210" s="1"/>
      <c r="D210" s="1"/>
      <c r="E210" s="6"/>
      <c r="F210" s="6"/>
      <c r="K210" s="1"/>
      <c r="L210" s="1"/>
      <c r="M210" s="6"/>
      <c r="N210" s="6"/>
    </row>
    <row r="211" spans="1:14">
      <c r="A211" s="1"/>
      <c r="C211" s="1"/>
      <c r="D211" s="1"/>
      <c r="E211" s="6"/>
      <c r="F211" s="6"/>
      <c r="I211" s="1"/>
      <c r="K211" s="1"/>
      <c r="L211" s="1"/>
      <c r="M211" s="6"/>
      <c r="N211" s="6"/>
    </row>
    <row r="212" spans="1:14">
      <c r="B212" s="28"/>
      <c r="C212" s="1"/>
      <c r="D212" s="1"/>
      <c r="E212" s="6"/>
      <c r="F212" s="6"/>
      <c r="J212" s="28"/>
      <c r="K212" s="1"/>
      <c r="L212" s="1"/>
      <c r="M212" s="6"/>
      <c r="N212" s="6"/>
    </row>
    <row r="213" spans="1:14">
      <c r="C213" s="1"/>
      <c r="D213" s="1"/>
      <c r="E213" s="6"/>
      <c r="F213" s="6"/>
      <c r="K213" s="1"/>
      <c r="L213" s="1"/>
      <c r="M213" s="6"/>
      <c r="N213" s="6"/>
    </row>
    <row r="214" spans="1:14">
      <c r="C214" s="1"/>
      <c r="D214" s="1"/>
      <c r="E214" s="6"/>
      <c r="F214" s="6"/>
      <c r="K214" s="1"/>
      <c r="L214" s="1"/>
      <c r="M214" s="6"/>
      <c r="N214" s="6"/>
    </row>
    <row r="215" spans="1:14">
      <c r="C215" s="1"/>
      <c r="D215" s="1"/>
      <c r="E215" s="6"/>
      <c r="F215" s="6"/>
      <c r="K215" s="1"/>
      <c r="L215" s="1"/>
      <c r="M215" s="6"/>
      <c r="N215" s="6"/>
    </row>
    <row r="216" spans="1:14">
      <c r="C216" s="1"/>
      <c r="D216" s="1"/>
      <c r="E216" s="6"/>
      <c r="F216" s="6"/>
      <c r="K216" s="1"/>
      <c r="L216" s="1"/>
      <c r="M216" s="6"/>
      <c r="N216" s="6"/>
    </row>
    <row r="217" spans="1:14">
      <c r="C217" s="1"/>
      <c r="D217" s="1"/>
      <c r="E217" s="6"/>
      <c r="F217" s="6"/>
      <c r="K217" s="1"/>
      <c r="L217" s="1"/>
      <c r="M217" s="6"/>
      <c r="N217" s="6"/>
    </row>
    <row r="218" spans="1:14">
      <c r="C218" s="1"/>
      <c r="D218" s="1"/>
      <c r="E218" s="6"/>
      <c r="F218" s="6"/>
      <c r="K218" s="1"/>
      <c r="L218" s="1"/>
      <c r="M218" s="6"/>
      <c r="N218" s="6"/>
    </row>
    <row r="219" spans="1:14">
      <c r="C219" s="1"/>
      <c r="D219" s="1"/>
      <c r="E219" s="6"/>
      <c r="F219" s="6"/>
      <c r="K219" s="1"/>
      <c r="L219" s="1"/>
      <c r="M219" s="6"/>
      <c r="N219" s="6"/>
    </row>
    <row r="220" spans="1:14">
      <c r="C220" s="1"/>
      <c r="D220" s="1"/>
      <c r="E220" s="6"/>
      <c r="F220" s="6"/>
      <c r="K220" s="1"/>
      <c r="L220" s="1"/>
      <c r="M220" s="6"/>
      <c r="N220" s="6"/>
    </row>
    <row r="221" spans="1:14">
      <c r="C221" s="1"/>
      <c r="D221" s="1"/>
      <c r="E221" s="6"/>
      <c r="F221" s="6"/>
      <c r="K221" s="1"/>
      <c r="L221" s="1"/>
      <c r="M221" s="6"/>
      <c r="N221" s="6"/>
    </row>
    <row r="222" spans="1:14">
      <c r="C222" s="1"/>
      <c r="D222" s="1"/>
      <c r="E222" s="6"/>
      <c r="F222" s="6"/>
      <c r="K222" s="1"/>
      <c r="L222" s="1"/>
      <c r="M222" s="6"/>
      <c r="N222" s="6"/>
    </row>
    <row r="223" spans="1:14">
      <c r="A223" s="1"/>
      <c r="C223" s="1"/>
      <c r="D223" s="1"/>
      <c r="E223" s="6"/>
      <c r="F223" s="6"/>
      <c r="I223" s="1"/>
      <c r="K223" s="1"/>
      <c r="L223" s="1"/>
      <c r="M223" s="6"/>
      <c r="N223" s="6"/>
    </row>
    <row r="224" spans="1:14">
      <c r="B224" s="28"/>
      <c r="C224" s="1"/>
      <c r="D224" s="1"/>
      <c r="E224" s="6"/>
      <c r="F224" s="6"/>
      <c r="J224" s="28"/>
      <c r="K224" s="1"/>
      <c r="L224" s="1"/>
      <c r="M224" s="6"/>
      <c r="N224" s="6"/>
    </row>
    <row r="225" spans="1:14">
      <c r="C225" s="1"/>
      <c r="D225" s="1"/>
      <c r="E225" s="6"/>
      <c r="F225" s="6"/>
      <c r="K225" s="1"/>
      <c r="L225" s="1"/>
      <c r="M225" s="6"/>
      <c r="N225" s="6"/>
    </row>
    <row r="226" spans="1:14">
      <c r="C226" s="1"/>
      <c r="D226" s="1"/>
      <c r="E226" s="6"/>
      <c r="F226" s="6"/>
      <c r="K226" s="1"/>
      <c r="L226" s="1"/>
      <c r="M226" s="6"/>
      <c r="N226" s="6"/>
    </row>
    <row r="227" spans="1:14">
      <c r="C227" s="1"/>
      <c r="D227" s="1"/>
      <c r="E227" s="6"/>
      <c r="F227" s="6"/>
      <c r="K227" s="1"/>
      <c r="L227" s="1"/>
      <c r="M227" s="6"/>
      <c r="N227" s="6"/>
    </row>
    <row r="228" spans="1:14">
      <c r="C228" s="1"/>
      <c r="D228" s="1"/>
      <c r="E228" s="6"/>
      <c r="F228" s="6"/>
      <c r="K228" s="1"/>
      <c r="L228" s="1"/>
      <c r="M228" s="6"/>
      <c r="N228" s="6"/>
    </row>
    <row r="229" spans="1:14">
      <c r="C229" s="1"/>
      <c r="D229" s="1"/>
      <c r="E229" s="6"/>
      <c r="F229" s="6"/>
      <c r="K229" s="1"/>
      <c r="L229" s="1"/>
      <c r="M229" s="6"/>
      <c r="N229" s="6"/>
    </row>
    <row r="230" spans="1:14">
      <c r="C230" s="1"/>
      <c r="D230" s="1"/>
      <c r="E230" s="6"/>
      <c r="F230" s="6"/>
      <c r="K230" s="1"/>
      <c r="L230" s="1"/>
      <c r="M230" s="6"/>
      <c r="N230" s="6"/>
    </row>
    <row r="231" spans="1:14">
      <c r="C231" s="1"/>
      <c r="D231" s="1"/>
      <c r="E231" s="6"/>
      <c r="F231" s="6"/>
      <c r="K231" s="1"/>
      <c r="L231" s="1"/>
      <c r="M231" s="6"/>
      <c r="N231" s="6"/>
    </row>
    <row r="232" spans="1:14">
      <c r="C232" s="1"/>
      <c r="D232" s="1"/>
      <c r="E232" s="6"/>
      <c r="F232" s="6"/>
      <c r="K232" s="1"/>
      <c r="L232" s="1"/>
      <c r="M232" s="6"/>
      <c r="N232" s="6"/>
    </row>
    <row r="233" spans="1:14">
      <c r="C233" s="1"/>
      <c r="D233" s="1"/>
      <c r="E233" s="6"/>
      <c r="F233" s="6"/>
      <c r="K233" s="1"/>
      <c r="L233" s="1"/>
      <c r="M233" s="6"/>
      <c r="N233" s="6"/>
    </row>
    <row r="234" spans="1:14">
      <c r="C234" s="1"/>
      <c r="D234" s="1"/>
      <c r="E234" s="6"/>
      <c r="F234" s="6"/>
      <c r="K234" s="1"/>
      <c r="L234" s="1"/>
      <c r="M234" s="6"/>
      <c r="N234" s="6"/>
    </row>
    <row r="235" spans="1:14">
      <c r="A235" s="1"/>
      <c r="C235" s="1"/>
      <c r="D235" s="1"/>
      <c r="E235" s="6"/>
      <c r="F235" s="6"/>
      <c r="I235" s="1"/>
      <c r="K235" s="1"/>
      <c r="L235" s="1"/>
      <c r="M235" s="6"/>
      <c r="N235" s="6"/>
    </row>
    <row r="236" spans="1:14">
      <c r="B236" s="28"/>
      <c r="C236" s="1"/>
      <c r="D236" s="1"/>
      <c r="E236" s="6"/>
      <c r="F236" s="6"/>
      <c r="J236" s="28"/>
      <c r="K236" s="1"/>
      <c r="L236" s="1"/>
      <c r="M236" s="6"/>
      <c r="N236" s="6"/>
    </row>
    <row r="237" spans="1:14">
      <c r="C237" s="1"/>
      <c r="D237" s="1"/>
      <c r="E237" s="6"/>
      <c r="F237" s="6"/>
      <c r="K237" s="1"/>
      <c r="L237" s="1"/>
      <c r="M237" s="6"/>
      <c r="N237" s="6"/>
    </row>
    <row r="238" spans="1:14">
      <c r="C238" s="1"/>
      <c r="D238" s="1"/>
      <c r="E238" s="6"/>
      <c r="F238" s="6"/>
      <c r="K238" s="1"/>
      <c r="L238" s="1"/>
      <c r="M238" s="6"/>
      <c r="N238" s="6"/>
    </row>
    <row r="239" spans="1:14">
      <c r="C239" s="1"/>
      <c r="D239" s="1"/>
      <c r="E239" s="6"/>
      <c r="F239" s="6"/>
      <c r="K239" s="1"/>
      <c r="L239" s="1"/>
      <c r="M239" s="6"/>
      <c r="N239" s="6"/>
    </row>
    <row r="240" spans="1:14">
      <c r="C240" s="1"/>
      <c r="D240" s="1"/>
      <c r="E240" s="6"/>
      <c r="F240" s="6"/>
      <c r="K240" s="1"/>
      <c r="L240" s="1"/>
      <c r="M240" s="6"/>
      <c r="N240" s="6"/>
    </row>
    <row r="241" spans="1:14">
      <c r="C241" s="1"/>
      <c r="D241" s="1"/>
      <c r="E241" s="6"/>
      <c r="F241" s="6"/>
      <c r="K241" s="1"/>
      <c r="L241" s="1"/>
      <c r="M241" s="6"/>
      <c r="N241" s="6"/>
    </row>
    <row r="242" spans="1:14">
      <c r="C242" s="1"/>
      <c r="D242" s="1"/>
      <c r="E242" s="6"/>
      <c r="F242" s="6"/>
      <c r="K242" s="1"/>
      <c r="L242" s="1"/>
      <c r="M242" s="6"/>
      <c r="N242" s="6"/>
    </row>
    <row r="243" spans="1:14">
      <c r="C243" s="1"/>
      <c r="D243" s="1"/>
      <c r="E243" s="6"/>
      <c r="F243" s="6"/>
      <c r="K243" s="1"/>
      <c r="L243" s="1"/>
      <c r="M243" s="6"/>
      <c r="N243" s="6"/>
    </row>
    <row r="244" spans="1:14">
      <c r="C244" s="1"/>
      <c r="D244" s="1"/>
      <c r="E244" s="6"/>
      <c r="F244" s="6"/>
      <c r="K244" s="1"/>
      <c r="L244" s="1"/>
      <c r="M244" s="6"/>
      <c r="N244" s="6"/>
    </row>
    <row r="245" spans="1:14">
      <c r="C245" s="1"/>
      <c r="D245" s="1"/>
      <c r="E245" s="6"/>
      <c r="F245" s="6"/>
      <c r="K245" s="1"/>
      <c r="L245" s="1"/>
      <c r="M245" s="6"/>
      <c r="N245" s="6"/>
    </row>
    <row r="246" spans="1:14">
      <c r="C246" s="1"/>
      <c r="D246" s="1"/>
      <c r="E246" s="6"/>
      <c r="F246" s="6"/>
      <c r="K246" s="1"/>
      <c r="L246" s="1"/>
      <c r="M246" s="6"/>
      <c r="N246" s="6"/>
    </row>
    <row r="247" spans="1:14">
      <c r="A247" s="1"/>
      <c r="C247" s="1"/>
      <c r="D247" s="1"/>
      <c r="E247" s="6"/>
      <c r="F247" s="6"/>
      <c r="I247" s="1"/>
      <c r="K247" s="1"/>
      <c r="L247" s="1"/>
      <c r="M247" s="6"/>
      <c r="N247" s="6"/>
    </row>
    <row r="248" spans="1:14">
      <c r="B248" s="28"/>
      <c r="C248" s="1"/>
      <c r="D248" s="1"/>
      <c r="E248" s="6"/>
      <c r="F248" s="6"/>
      <c r="J248" s="28"/>
      <c r="K248" s="1"/>
      <c r="L248" s="1"/>
      <c r="M248" s="6"/>
      <c r="N248" s="6"/>
    </row>
    <row r="249" spans="1:14">
      <c r="C249" s="1"/>
      <c r="D249" s="1"/>
      <c r="E249" s="6"/>
      <c r="F249" s="6"/>
      <c r="K249" s="1"/>
      <c r="L249" s="1"/>
      <c r="M249" s="6"/>
      <c r="N249" s="6"/>
    </row>
    <row r="250" spans="1:14">
      <c r="C250" s="1"/>
      <c r="D250" s="1"/>
      <c r="E250" s="6"/>
      <c r="F250" s="6"/>
      <c r="K250" s="1"/>
      <c r="L250" s="1"/>
      <c r="M250" s="6"/>
      <c r="N250" s="6"/>
    </row>
    <row r="251" spans="1:14">
      <c r="C251" s="1"/>
      <c r="D251" s="1"/>
      <c r="E251" s="6"/>
      <c r="F251" s="6"/>
      <c r="K251" s="1"/>
      <c r="L251" s="1"/>
      <c r="M251" s="6"/>
      <c r="N251" s="6"/>
    </row>
    <row r="252" spans="1:14">
      <c r="C252" s="1"/>
      <c r="D252" s="1"/>
      <c r="E252" s="6"/>
      <c r="F252" s="6"/>
      <c r="K252" s="1"/>
      <c r="L252" s="1"/>
      <c r="M252" s="6"/>
      <c r="N252" s="6"/>
    </row>
    <row r="253" spans="1:14">
      <c r="C253" s="1"/>
      <c r="D253" s="1"/>
      <c r="E253" s="6"/>
      <c r="F253" s="6"/>
      <c r="K253" s="1"/>
      <c r="L253" s="1"/>
      <c r="M253" s="6"/>
      <c r="N253" s="6"/>
    </row>
    <row r="254" spans="1:14">
      <c r="C254" s="1"/>
      <c r="D254" s="1"/>
      <c r="E254" s="6"/>
      <c r="F254" s="6"/>
      <c r="K254" s="1"/>
      <c r="L254" s="1"/>
      <c r="M254" s="6"/>
      <c r="N254" s="6"/>
    </row>
    <row r="255" spans="1:14">
      <c r="C255" s="1"/>
      <c r="D255" s="1"/>
      <c r="E255" s="6"/>
      <c r="F255" s="6"/>
      <c r="K255" s="1"/>
      <c r="L255" s="1"/>
      <c r="M255" s="6"/>
      <c r="N255" s="6"/>
    </row>
    <row r="256" spans="1:14">
      <c r="C256" s="1"/>
      <c r="D256" s="1"/>
      <c r="E256" s="6"/>
      <c r="F256" s="6"/>
      <c r="K256" s="1"/>
      <c r="L256" s="1"/>
      <c r="M256" s="6"/>
      <c r="N256" s="6"/>
    </row>
    <row r="257" spans="1:14">
      <c r="C257" s="1"/>
      <c r="D257" s="1"/>
      <c r="E257" s="6"/>
      <c r="F257" s="6"/>
      <c r="K257" s="1"/>
      <c r="L257" s="1"/>
      <c r="M257" s="6"/>
      <c r="N257" s="6"/>
    </row>
    <row r="258" spans="1:14">
      <c r="C258" s="1"/>
      <c r="D258" s="1"/>
      <c r="E258" s="6"/>
      <c r="F258" s="6"/>
      <c r="K258" s="1"/>
      <c r="L258" s="1"/>
      <c r="M258" s="6"/>
      <c r="N258" s="6"/>
    </row>
    <row r="259" spans="1:14">
      <c r="A259" s="1"/>
      <c r="C259" s="1"/>
      <c r="D259" s="1"/>
      <c r="E259" s="6"/>
      <c r="F259" s="6"/>
    </row>
    <row r="260" spans="1:14">
      <c r="B260" s="28"/>
      <c r="C260" s="1"/>
      <c r="D260" s="1"/>
      <c r="E260" s="6"/>
      <c r="F260" s="6"/>
    </row>
    <row r="261" spans="1:14">
      <c r="C261" s="1"/>
      <c r="D261" s="1"/>
      <c r="E261" s="6"/>
      <c r="F261" s="6"/>
    </row>
    <row r="262" spans="1:14">
      <c r="C262" s="1"/>
      <c r="D262" s="1"/>
      <c r="E262" s="6"/>
      <c r="F262" s="6"/>
    </row>
    <row r="263" spans="1:14">
      <c r="C263" s="1"/>
      <c r="D263" s="1"/>
      <c r="E263" s="6"/>
      <c r="F263" s="6"/>
    </row>
    <row r="264" spans="1:14">
      <c r="C264" s="1"/>
      <c r="D264" s="1"/>
      <c r="E264" s="6"/>
      <c r="F264" s="6"/>
    </row>
    <row r="265" spans="1:14">
      <c r="C265" s="1"/>
      <c r="D265" s="1"/>
      <c r="E265" s="6"/>
      <c r="F265" s="6"/>
    </row>
    <row r="266" spans="1:14">
      <c r="C266" s="1"/>
      <c r="D266" s="1"/>
      <c r="E266" s="6"/>
      <c r="F266" s="6"/>
    </row>
    <row r="267" spans="1:14">
      <c r="C267" s="1"/>
      <c r="D267" s="1"/>
      <c r="E267" s="6"/>
      <c r="F267" s="6"/>
    </row>
    <row r="268" spans="1:14">
      <c r="C268" s="1"/>
      <c r="D268" s="1"/>
      <c r="E268" s="6"/>
      <c r="F268" s="6"/>
    </row>
    <row r="269" spans="1:14">
      <c r="C269" s="1"/>
      <c r="D269" s="1"/>
      <c r="E269" s="6"/>
      <c r="F269" s="6"/>
    </row>
    <row r="270" spans="1:14">
      <c r="C270" s="1"/>
      <c r="D270" s="1"/>
      <c r="E270" s="6"/>
      <c r="F270" s="6"/>
    </row>
    <row r="271" spans="1:14">
      <c r="A271" s="1"/>
      <c r="C271" s="1"/>
      <c r="D271" s="1"/>
      <c r="E271" s="6"/>
      <c r="F271" s="6"/>
    </row>
    <row r="272" spans="1:14">
      <c r="B272" s="28"/>
      <c r="C272" s="1"/>
      <c r="D272" s="1"/>
      <c r="E272" s="6"/>
      <c r="F272" s="6"/>
    </row>
    <row r="273" spans="1:6">
      <c r="C273" s="1"/>
      <c r="D273" s="1"/>
      <c r="E273" s="6"/>
      <c r="F273" s="6"/>
    </row>
    <row r="274" spans="1:6">
      <c r="C274" s="1"/>
      <c r="D274" s="1"/>
      <c r="E274" s="6"/>
      <c r="F274" s="6"/>
    </row>
    <row r="275" spans="1:6">
      <c r="C275" s="1"/>
      <c r="D275" s="1"/>
      <c r="E275" s="6"/>
      <c r="F275" s="6"/>
    </row>
    <row r="276" spans="1:6">
      <c r="C276" s="1"/>
      <c r="D276" s="1"/>
      <c r="E276" s="6"/>
      <c r="F276" s="6"/>
    </row>
    <row r="277" spans="1:6">
      <c r="C277" s="1"/>
      <c r="D277" s="1"/>
      <c r="E277" s="6"/>
      <c r="F277" s="6"/>
    </row>
    <row r="278" spans="1:6">
      <c r="C278" s="1"/>
      <c r="D278" s="1"/>
      <c r="E278" s="6"/>
      <c r="F278" s="6"/>
    </row>
    <row r="279" spans="1:6">
      <c r="C279" s="1"/>
      <c r="D279" s="1"/>
      <c r="E279" s="6"/>
      <c r="F279" s="6"/>
    </row>
    <row r="280" spans="1:6">
      <c r="C280" s="1"/>
      <c r="D280" s="1"/>
      <c r="E280" s="6"/>
      <c r="F280" s="6"/>
    </row>
    <row r="281" spans="1:6">
      <c r="C281" s="1"/>
      <c r="D281" s="1"/>
      <c r="E281" s="6"/>
      <c r="F281" s="6"/>
    </row>
    <row r="282" spans="1:6">
      <c r="C282" s="1"/>
      <c r="D282" s="1"/>
      <c r="E282" s="6"/>
      <c r="F282" s="6"/>
    </row>
    <row r="283" spans="1:6">
      <c r="A283" s="1"/>
      <c r="C283" s="1"/>
      <c r="D283" s="1"/>
      <c r="E283" s="6"/>
      <c r="F283" s="6"/>
    </row>
    <row r="284" spans="1:6">
      <c r="B284" s="28"/>
      <c r="C284" s="1"/>
      <c r="D284" s="1"/>
      <c r="E284" s="6"/>
      <c r="F284" s="6"/>
    </row>
    <row r="285" spans="1:6">
      <c r="C285" s="1"/>
      <c r="D285" s="1"/>
      <c r="E285" s="6"/>
      <c r="F285" s="6"/>
    </row>
    <row r="286" spans="1:6">
      <c r="C286" s="1"/>
      <c r="D286" s="1"/>
      <c r="E286" s="6"/>
      <c r="F286" s="6"/>
    </row>
    <row r="287" spans="1:6">
      <c r="C287" s="1"/>
      <c r="D287" s="1"/>
      <c r="E287" s="6"/>
      <c r="F287" s="6"/>
    </row>
    <row r="288" spans="1:6">
      <c r="C288" s="1"/>
      <c r="D288" s="1"/>
      <c r="E288" s="6"/>
      <c r="F288" s="6"/>
    </row>
    <row r="289" spans="1:6">
      <c r="C289" s="1"/>
      <c r="D289" s="1"/>
      <c r="E289" s="6"/>
      <c r="F289" s="6"/>
    </row>
    <row r="290" spans="1:6">
      <c r="C290" s="1"/>
      <c r="D290" s="1"/>
      <c r="E290" s="6"/>
      <c r="F290" s="6"/>
    </row>
    <row r="291" spans="1:6">
      <c r="C291" s="1"/>
      <c r="D291" s="1"/>
      <c r="E291" s="6"/>
      <c r="F291" s="6"/>
    </row>
    <row r="292" spans="1:6">
      <c r="C292" s="1"/>
      <c r="D292" s="1"/>
      <c r="E292" s="6"/>
      <c r="F292" s="6"/>
    </row>
    <row r="293" spans="1:6">
      <c r="C293" s="1"/>
      <c r="D293" s="1"/>
      <c r="E293" s="6"/>
      <c r="F293" s="6"/>
    </row>
    <row r="294" spans="1:6">
      <c r="C294" s="1"/>
      <c r="D294" s="1"/>
      <c r="E294" s="6"/>
      <c r="F294" s="6"/>
    </row>
    <row r="295" spans="1:6">
      <c r="A295" s="1"/>
      <c r="C295" s="1"/>
      <c r="D295" s="1"/>
      <c r="E295" s="6"/>
      <c r="F295" s="6"/>
    </row>
    <row r="296" spans="1:6">
      <c r="B296" s="28"/>
      <c r="C296" s="1"/>
      <c r="D296" s="1"/>
      <c r="E296" s="6"/>
      <c r="F296" s="6"/>
    </row>
    <row r="297" spans="1:6">
      <c r="C297" s="1"/>
      <c r="D297" s="1"/>
      <c r="E297" s="6"/>
      <c r="F297" s="6"/>
    </row>
    <row r="298" spans="1:6">
      <c r="C298" s="1"/>
      <c r="D298" s="1"/>
      <c r="E298" s="6"/>
      <c r="F298" s="6"/>
    </row>
    <row r="299" spans="1:6">
      <c r="C299" s="1"/>
      <c r="D299" s="1"/>
      <c r="E299" s="6"/>
      <c r="F299" s="6"/>
    </row>
    <row r="300" spans="1:6">
      <c r="C300" s="1"/>
      <c r="D300" s="1"/>
      <c r="E300" s="6"/>
      <c r="F300" s="6"/>
    </row>
    <row r="301" spans="1:6">
      <c r="C301" s="1"/>
      <c r="D301" s="1"/>
      <c r="E301" s="6"/>
      <c r="F301" s="6"/>
    </row>
    <row r="302" spans="1:6">
      <c r="C302" s="1"/>
      <c r="D302" s="1"/>
      <c r="E302" s="6"/>
      <c r="F302" s="6"/>
    </row>
    <row r="303" spans="1:6">
      <c r="C303" s="1"/>
      <c r="D303" s="1"/>
      <c r="E303" s="6"/>
      <c r="F303" s="6"/>
    </row>
    <row r="304" spans="1:6">
      <c r="C304" s="1"/>
      <c r="D304" s="1"/>
      <c r="E304" s="6"/>
      <c r="F304" s="6"/>
    </row>
    <row r="305" spans="1:6">
      <c r="C305" s="1"/>
      <c r="D305" s="1"/>
      <c r="E305" s="6"/>
      <c r="F305" s="6"/>
    </row>
    <row r="306" spans="1:6">
      <c r="C306" s="1"/>
      <c r="D306" s="1"/>
      <c r="E306" s="6"/>
      <c r="F306" s="6"/>
    </row>
    <row r="307" spans="1:6">
      <c r="A307" s="1"/>
      <c r="C307" s="1"/>
      <c r="D307" s="1"/>
      <c r="E307" s="6"/>
      <c r="F307" s="6"/>
    </row>
    <row r="308" spans="1:6">
      <c r="B308" s="28"/>
      <c r="C308" s="1"/>
      <c r="D308" s="1"/>
      <c r="E308" s="6"/>
      <c r="F308" s="6"/>
    </row>
    <row r="309" spans="1:6">
      <c r="C309" s="1"/>
      <c r="D309" s="1"/>
      <c r="E309" s="6"/>
      <c r="F309" s="6"/>
    </row>
    <row r="310" spans="1:6">
      <c r="C310" s="1"/>
      <c r="D310" s="1"/>
      <c r="E310" s="6"/>
      <c r="F310" s="6"/>
    </row>
    <row r="311" spans="1:6">
      <c r="C311" s="1"/>
      <c r="D311" s="1"/>
      <c r="E311" s="6"/>
      <c r="F311" s="6"/>
    </row>
    <row r="312" spans="1:6">
      <c r="C312" s="1"/>
      <c r="D312" s="1"/>
      <c r="E312" s="6"/>
      <c r="F312" s="6"/>
    </row>
    <row r="313" spans="1:6">
      <c r="C313" s="1"/>
      <c r="D313" s="1"/>
      <c r="E313" s="6"/>
      <c r="F313" s="6"/>
    </row>
    <row r="314" spans="1:6">
      <c r="C314" s="1"/>
      <c r="D314" s="1"/>
      <c r="E314" s="6"/>
      <c r="F314" s="6"/>
    </row>
    <row r="315" spans="1:6">
      <c r="C315" s="1"/>
      <c r="D315" s="1"/>
      <c r="E315" s="6"/>
      <c r="F315" s="6"/>
    </row>
    <row r="316" spans="1:6">
      <c r="C316" s="1"/>
      <c r="D316" s="1"/>
      <c r="E316" s="6"/>
      <c r="F316" s="6"/>
    </row>
    <row r="317" spans="1:6">
      <c r="C317" s="1"/>
      <c r="D317" s="1"/>
      <c r="E317" s="6"/>
      <c r="F317" s="6"/>
    </row>
    <row r="318" spans="1:6">
      <c r="C318" s="1"/>
      <c r="D318" s="1"/>
      <c r="E318" s="6"/>
      <c r="F318" s="6"/>
    </row>
    <row r="319" spans="1:6">
      <c r="A319" s="1"/>
      <c r="C319" s="1"/>
      <c r="D319" s="1"/>
      <c r="E319" s="6"/>
      <c r="F319" s="6"/>
    </row>
    <row r="320" spans="1:6">
      <c r="B320" s="28"/>
      <c r="C320" s="1"/>
      <c r="D320" s="1"/>
      <c r="E320" s="6"/>
      <c r="F320" s="6"/>
    </row>
    <row r="321" spans="1:6">
      <c r="C321" s="1"/>
      <c r="D321" s="1"/>
      <c r="E321" s="6"/>
      <c r="F321" s="6"/>
    </row>
    <row r="322" spans="1:6">
      <c r="C322" s="1"/>
      <c r="D322" s="1"/>
      <c r="E322" s="6"/>
      <c r="F322" s="6"/>
    </row>
    <row r="323" spans="1:6">
      <c r="C323" s="1"/>
      <c r="D323" s="1"/>
      <c r="E323" s="6"/>
      <c r="F323" s="6"/>
    </row>
    <row r="324" spans="1:6">
      <c r="C324" s="1"/>
      <c r="D324" s="1"/>
      <c r="E324" s="6"/>
      <c r="F324" s="6"/>
    </row>
    <row r="325" spans="1:6">
      <c r="C325" s="1"/>
      <c r="D325" s="1"/>
      <c r="E325" s="6"/>
      <c r="F325" s="6"/>
    </row>
    <row r="326" spans="1:6">
      <c r="C326" s="1"/>
      <c r="D326" s="1"/>
      <c r="E326" s="6"/>
      <c r="F326" s="6"/>
    </row>
    <row r="327" spans="1:6">
      <c r="C327" s="1"/>
      <c r="D327" s="1"/>
      <c r="E327" s="6"/>
      <c r="F327" s="6"/>
    </row>
    <row r="328" spans="1:6">
      <c r="C328" s="1"/>
      <c r="D328" s="1"/>
      <c r="E328" s="6"/>
      <c r="F328" s="6"/>
    </row>
    <row r="329" spans="1:6">
      <c r="C329" s="1"/>
      <c r="D329" s="1"/>
      <c r="E329" s="6"/>
      <c r="F329" s="6"/>
    </row>
    <row r="330" spans="1:6">
      <c r="C330" s="1"/>
      <c r="D330" s="1"/>
      <c r="E330" s="6"/>
      <c r="F330" s="6"/>
    </row>
    <row r="331" spans="1:6">
      <c r="A331" s="1"/>
      <c r="C331" s="1"/>
      <c r="D331" s="1"/>
      <c r="E331" s="6"/>
      <c r="F331" s="6"/>
    </row>
    <row r="332" spans="1:6">
      <c r="B332" s="28"/>
      <c r="C332" s="1"/>
      <c r="D332" s="1"/>
      <c r="E332" s="6"/>
      <c r="F332" s="6"/>
    </row>
    <row r="333" spans="1:6">
      <c r="C333" s="1"/>
      <c r="D333" s="1"/>
      <c r="E333" s="6"/>
      <c r="F333" s="6"/>
    </row>
    <row r="334" spans="1:6">
      <c r="C334" s="1"/>
      <c r="D334" s="1"/>
      <c r="E334" s="6"/>
      <c r="F334" s="6"/>
    </row>
    <row r="335" spans="1:6">
      <c r="C335" s="1"/>
      <c r="D335" s="1"/>
      <c r="E335" s="6"/>
      <c r="F335" s="6"/>
    </row>
    <row r="336" spans="1:6">
      <c r="C336" s="1"/>
      <c r="D336" s="1"/>
      <c r="E336" s="6"/>
      <c r="F336" s="6"/>
    </row>
    <row r="337" spans="1:6">
      <c r="C337" s="1"/>
      <c r="D337" s="1"/>
      <c r="E337" s="6"/>
      <c r="F337" s="6"/>
    </row>
    <row r="338" spans="1:6">
      <c r="C338" s="1"/>
      <c r="D338" s="1"/>
      <c r="E338" s="6"/>
      <c r="F338" s="6"/>
    </row>
    <row r="339" spans="1:6">
      <c r="C339" s="1"/>
      <c r="D339" s="1"/>
      <c r="E339" s="6"/>
      <c r="F339" s="6"/>
    </row>
    <row r="340" spans="1:6">
      <c r="C340" s="1"/>
      <c r="D340" s="1"/>
      <c r="E340" s="6"/>
      <c r="F340" s="6"/>
    </row>
    <row r="341" spans="1:6">
      <c r="C341" s="1"/>
      <c r="D341" s="1"/>
      <c r="E341" s="6"/>
      <c r="F341" s="6"/>
    </row>
    <row r="342" spans="1:6">
      <c r="C342" s="1"/>
      <c r="D342" s="1"/>
      <c r="E342" s="6"/>
      <c r="F342" s="6"/>
    </row>
    <row r="343" spans="1:6">
      <c r="A343" s="1"/>
      <c r="C343" s="1"/>
      <c r="D343" s="1"/>
      <c r="E343" s="6"/>
      <c r="F343" s="6"/>
    </row>
    <row r="344" spans="1:6">
      <c r="B344" s="28"/>
      <c r="C344" s="1"/>
      <c r="D344" s="1"/>
      <c r="E344" s="6"/>
      <c r="F344" s="6"/>
    </row>
    <row r="345" spans="1:6">
      <c r="C345" s="1"/>
      <c r="D345" s="1"/>
      <c r="E345" s="6"/>
      <c r="F345" s="6"/>
    </row>
    <row r="346" spans="1:6">
      <c r="C346" s="1"/>
      <c r="D346" s="1"/>
      <c r="E346" s="6"/>
      <c r="F346" s="6"/>
    </row>
    <row r="347" spans="1:6">
      <c r="C347" s="1"/>
      <c r="D347" s="1"/>
      <c r="E347" s="6"/>
      <c r="F347" s="6"/>
    </row>
    <row r="348" spans="1:6">
      <c r="C348" s="1"/>
      <c r="D348" s="1"/>
      <c r="E348" s="6"/>
      <c r="F348" s="6"/>
    </row>
    <row r="349" spans="1:6">
      <c r="C349" s="1"/>
      <c r="D349" s="1"/>
      <c r="E349" s="6"/>
      <c r="F349" s="6"/>
    </row>
    <row r="350" spans="1:6">
      <c r="C350" s="1"/>
      <c r="D350" s="1"/>
      <c r="E350" s="6"/>
      <c r="F350" s="6"/>
    </row>
    <row r="351" spans="1:6">
      <c r="C351" s="1"/>
      <c r="D351" s="1"/>
      <c r="E351" s="6"/>
      <c r="F351" s="6"/>
    </row>
    <row r="352" spans="1:6">
      <c r="C352" s="1"/>
      <c r="D352" s="1"/>
      <c r="E352" s="6"/>
      <c r="F352" s="6"/>
    </row>
    <row r="353" spans="1:6">
      <c r="C353" s="1"/>
      <c r="D353" s="1"/>
      <c r="E353" s="6"/>
      <c r="F353" s="6"/>
    </row>
    <row r="354" spans="1:6">
      <c r="C354" s="1"/>
      <c r="D354" s="1"/>
      <c r="E354" s="6"/>
      <c r="F354" s="6"/>
    </row>
    <row r="355" spans="1:6">
      <c r="A355" s="1"/>
      <c r="C355" s="1"/>
      <c r="D355" s="1"/>
      <c r="E355" s="6"/>
      <c r="F355" s="6"/>
    </row>
    <row r="356" spans="1:6">
      <c r="B356" s="28"/>
      <c r="C356" s="1"/>
      <c r="D356" s="1"/>
      <c r="E356" s="6"/>
      <c r="F356" s="6"/>
    </row>
    <row r="357" spans="1:6">
      <c r="C357" s="1"/>
      <c r="D357" s="1"/>
      <c r="E357" s="6"/>
      <c r="F357" s="6"/>
    </row>
    <row r="358" spans="1:6">
      <c r="C358" s="1"/>
      <c r="D358" s="1"/>
      <c r="E358" s="6"/>
      <c r="F358" s="6"/>
    </row>
    <row r="359" spans="1:6">
      <c r="C359" s="1"/>
      <c r="D359" s="1"/>
      <c r="E359" s="6"/>
      <c r="F359" s="6"/>
    </row>
    <row r="360" spans="1:6">
      <c r="C360" s="1"/>
      <c r="D360" s="1"/>
      <c r="E360" s="6"/>
      <c r="F360" s="6"/>
    </row>
    <row r="361" spans="1:6">
      <c r="C361" s="1"/>
      <c r="D361" s="1"/>
      <c r="E361" s="6"/>
      <c r="F361" s="6"/>
    </row>
    <row r="362" spans="1:6">
      <c r="C362" s="1"/>
      <c r="D362" s="1"/>
      <c r="E362" s="6"/>
      <c r="F362" s="6"/>
    </row>
    <row r="363" spans="1:6">
      <c r="C363" s="1"/>
      <c r="D363" s="1"/>
      <c r="E363" s="6"/>
      <c r="F363" s="6"/>
    </row>
    <row r="364" spans="1:6">
      <c r="C364" s="1"/>
      <c r="D364" s="1"/>
      <c r="E364" s="6"/>
      <c r="F364" s="6"/>
    </row>
    <row r="365" spans="1:6">
      <c r="C365" s="1"/>
      <c r="D365" s="1"/>
      <c r="E365" s="6"/>
      <c r="F365" s="6"/>
    </row>
    <row r="366" spans="1:6">
      <c r="C366" s="1"/>
      <c r="D366" s="1"/>
      <c r="E366" s="6"/>
      <c r="F366" s="6"/>
    </row>
    <row r="367" spans="1:6">
      <c r="A367" s="1"/>
      <c r="C367" s="1"/>
      <c r="D367" s="1"/>
      <c r="E367" s="6"/>
      <c r="F367" s="6"/>
    </row>
    <row r="368" spans="1:6">
      <c r="B368" s="28"/>
      <c r="C368" s="1"/>
      <c r="D368" s="1"/>
      <c r="E368" s="6"/>
      <c r="F368" s="6"/>
    </row>
    <row r="369" spans="1:6">
      <c r="C369" s="1"/>
      <c r="D369" s="1"/>
      <c r="E369" s="6"/>
      <c r="F369" s="6"/>
    </row>
    <row r="370" spans="1:6">
      <c r="C370" s="1"/>
      <c r="D370" s="1"/>
      <c r="E370" s="6"/>
      <c r="F370" s="6"/>
    </row>
    <row r="371" spans="1:6">
      <c r="C371" s="1"/>
      <c r="D371" s="1"/>
      <c r="E371" s="6"/>
      <c r="F371" s="6"/>
    </row>
    <row r="372" spans="1:6">
      <c r="C372" s="1"/>
      <c r="D372" s="1"/>
      <c r="E372" s="6"/>
      <c r="F372" s="6"/>
    </row>
    <row r="373" spans="1:6">
      <c r="C373" s="1"/>
      <c r="D373" s="1"/>
      <c r="E373" s="6"/>
      <c r="F373" s="6"/>
    </row>
    <row r="374" spans="1:6">
      <c r="C374" s="1"/>
      <c r="D374" s="1"/>
      <c r="E374" s="6"/>
      <c r="F374" s="6"/>
    </row>
    <row r="375" spans="1:6">
      <c r="C375" s="1"/>
      <c r="D375" s="1"/>
      <c r="E375" s="6"/>
      <c r="F375" s="6"/>
    </row>
    <row r="376" spans="1:6">
      <c r="C376" s="1"/>
      <c r="D376" s="1"/>
      <c r="E376" s="6"/>
      <c r="F376" s="6"/>
    </row>
    <row r="377" spans="1:6">
      <c r="C377" s="1"/>
      <c r="D377" s="1"/>
      <c r="E377" s="6"/>
      <c r="F377" s="6"/>
    </row>
    <row r="378" spans="1:6">
      <c r="C378" s="1"/>
      <c r="D378" s="1"/>
      <c r="E378" s="6"/>
      <c r="F378" s="6"/>
    </row>
    <row r="379" spans="1:6">
      <c r="A379" s="1"/>
      <c r="C379" s="1"/>
      <c r="D379" s="1"/>
      <c r="E379" s="6"/>
      <c r="F379" s="6"/>
    </row>
    <row r="380" spans="1:6">
      <c r="B380" s="28"/>
      <c r="C380" s="1"/>
      <c r="D380" s="1"/>
      <c r="E380" s="6"/>
      <c r="F380" s="6"/>
    </row>
    <row r="381" spans="1:6">
      <c r="C381" s="1"/>
      <c r="D381" s="1"/>
      <c r="E381" s="6"/>
      <c r="F381" s="6"/>
    </row>
    <row r="382" spans="1:6">
      <c r="C382" s="1"/>
      <c r="D382" s="1"/>
      <c r="E382" s="6"/>
      <c r="F382" s="6"/>
    </row>
    <row r="383" spans="1:6">
      <c r="C383" s="1"/>
      <c r="D383" s="1"/>
      <c r="E383" s="6"/>
      <c r="F383" s="6"/>
    </row>
    <row r="384" spans="1:6">
      <c r="C384" s="1"/>
      <c r="D384" s="1"/>
      <c r="E384" s="6"/>
      <c r="F384" s="6"/>
    </row>
    <row r="385" spans="1:6">
      <c r="C385" s="1"/>
      <c r="D385" s="1"/>
      <c r="E385" s="6"/>
      <c r="F385" s="6"/>
    </row>
    <row r="386" spans="1:6">
      <c r="C386" s="1"/>
      <c r="D386" s="1"/>
      <c r="E386" s="6"/>
      <c r="F386" s="6"/>
    </row>
    <row r="387" spans="1:6">
      <c r="C387" s="1"/>
      <c r="D387" s="1"/>
      <c r="E387" s="6"/>
      <c r="F387" s="6"/>
    </row>
    <row r="388" spans="1:6">
      <c r="C388" s="1"/>
      <c r="D388" s="1"/>
      <c r="E388" s="6"/>
      <c r="F388" s="6"/>
    </row>
    <row r="389" spans="1:6">
      <c r="C389" s="1"/>
      <c r="D389" s="1"/>
      <c r="E389" s="6"/>
      <c r="F389" s="6"/>
    </row>
    <row r="390" spans="1:6">
      <c r="C390" s="1"/>
      <c r="D390" s="1"/>
      <c r="E390" s="6"/>
      <c r="F390" s="6"/>
    </row>
    <row r="391" spans="1:6">
      <c r="A391" s="1"/>
      <c r="C391" s="1"/>
      <c r="D391" s="1"/>
      <c r="E391" s="6"/>
      <c r="F391" s="6"/>
    </row>
    <row r="392" spans="1:6">
      <c r="B392" s="28"/>
      <c r="C392" s="1"/>
      <c r="D392" s="1"/>
      <c r="E392" s="6"/>
      <c r="F392" s="6"/>
    </row>
    <row r="393" spans="1:6">
      <c r="C393" s="1"/>
      <c r="D393" s="1"/>
      <c r="E393" s="6"/>
      <c r="F393" s="6"/>
    </row>
    <row r="394" spans="1:6">
      <c r="C394" s="1"/>
      <c r="D394" s="1"/>
      <c r="E394" s="6"/>
      <c r="F394" s="6"/>
    </row>
    <row r="395" spans="1:6">
      <c r="C395" s="1"/>
      <c r="D395" s="1"/>
      <c r="E395" s="6"/>
      <c r="F395" s="6"/>
    </row>
    <row r="396" spans="1:6">
      <c r="C396" s="1"/>
      <c r="D396" s="1"/>
      <c r="E396" s="6"/>
      <c r="F396" s="6"/>
    </row>
    <row r="397" spans="1:6">
      <c r="C397" s="1"/>
      <c r="D397" s="1"/>
      <c r="E397" s="6"/>
      <c r="F397" s="6"/>
    </row>
    <row r="398" spans="1:6">
      <c r="C398" s="1"/>
      <c r="D398" s="1"/>
      <c r="E398" s="6"/>
      <c r="F398" s="6"/>
    </row>
    <row r="399" spans="1:6">
      <c r="C399" s="1"/>
      <c r="D399" s="1"/>
      <c r="E399" s="6"/>
      <c r="F399" s="6"/>
    </row>
    <row r="400" spans="1:6">
      <c r="C400" s="1"/>
      <c r="D400" s="1"/>
      <c r="E400" s="6"/>
      <c r="F400" s="6"/>
    </row>
    <row r="401" spans="1:6">
      <c r="C401" s="1"/>
      <c r="D401" s="1"/>
      <c r="E401" s="6"/>
      <c r="F401" s="6"/>
    </row>
    <row r="402" spans="1:6">
      <c r="C402" s="1"/>
      <c r="D402" s="1"/>
      <c r="E402" s="6"/>
      <c r="F402" s="6"/>
    </row>
    <row r="403" spans="1:6">
      <c r="A403" s="1"/>
      <c r="C403" s="1"/>
      <c r="D403" s="1"/>
      <c r="E403" s="6"/>
      <c r="F403" s="6"/>
    </row>
    <row r="404" spans="1:6">
      <c r="B404" s="28"/>
      <c r="C404" s="1"/>
      <c r="D404" s="1"/>
      <c r="E404" s="6"/>
      <c r="F404" s="6"/>
    </row>
    <row r="405" spans="1:6">
      <c r="C405" s="1"/>
      <c r="D405" s="1"/>
      <c r="E405" s="6"/>
      <c r="F405" s="6"/>
    </row>
    <row r="406" spans="1:6">
      <c r="C406" s="1"/>
      <c r="D406" s="1"/>
      <c r="E406" s="6"/>
      <c r="F406" s="6"/>
    </row>
    <row r="407" spans="1:6">
      <c r="C407" s="1"/>
      <c r="D407" s="1"/>
      <c r="E407" s="6"/>
      <c r="F407" s="6"/>
    </row>
    <row r="408" spans="1:6">
      <c r="C408" s="1"/>
      <c r="D408" s="1"/>
      <c r="E408" s="6"/>
      <c r="F408" s="6"/>
    </row>
    <row r="409" spans="1:6">
      <c r="C409" s="1"/>
      <c r="D409" s="1"/>
      <c r="E409" s="6"/>
      <c r="F409" s="6"/>
    </row>
    <row r="410" spans="1:6">
      <c r="C410" s="1"/>
      <c r="D410" s="1"/>
      <c r="E410" s="6"/>
      <c r="F410" s="6"/>
    </row>
    <row r="411" spans="1:6">
      <c r="C411" s="1"/>
      <c r="D411" s="1"/>
      <c r="E411" s="6"/>
      <c r="F411" s="6"/>
    </row>
    <row r="412" spans="1:6">
      <c r="C412" s="1"/>
      <c r="D412" s="1"/>
      <c r="E412" s="6"/>
      <c r="F412" s="6"/>
    </row>
    <row r="413" spans="1:6">
      <c r="C413" s="1"/>
      <c r="D413" s="1"/>
      <c r="E413" s="6"/>
      <c r="F413" s="6"/>
    </row>
    <row r="414" spans="1:6">
      <c r="C414" s="1"/>
      <c r="D414" s="1"/>
      <c r="E414" s="6"/>
      <c r="F414" s="6"/>
    </row>
    <row r="415" spans="1:6">
      <c r="A415" s="1"/>
      <c r="C415" s="1"/>
      <c r="D415" s="1"/>
      <c r="E415" s="6"/>
      <c r="F415" s="6"/>
    </row>
    <row r="416" spans="1:6">
      <c r="B416" s="28"/>
      <c r="C416" s="1"/>
      <c r="D416" s="1"/>
      <c r="E416" s="6"/>
      <c r="F416" s="6"/>
    </row>
    <row r="417" spans="1:6">
      <c r="C417" s="1"/>
      <c r="D417" s="1"/>
      <c r="E417" s="6"/>
      <c r="F417" s="6"/>
    </row>
    <row r="418" spans="1:6">
      <c r="C418" s="1"/>
      <c r="D418" s="1"/>
      <c r="E418" s="6"/>
      <c r="F418" s="6"/>
    </row>
    <row r="419" spans="1:6">
      <c r="C419" s="1"/>
      <c r="D419" s="1"/>
      <c r="E419" s="6"/>
      <c r="F419" s="6"/>
    </row>
    <row r="420" spans="1:6">
      <c r="C420" s="1"/>
      <c r="D420" s="1"/>
      <c r="E420" s="6"/>
      <c r="F420" s="6"/>
    </row>
    <row r="421" spans="1:6">
      <c r="C421" s="1"/>
      <c r="D421" s="1"/>
      <c r="E421" s="6"/>
      <c r="F421" s="6"/>
    </row>
    <row r="422" spans="1:6">
      <c r="C422" s="1"/>
      <c r="D422" s="1"/>
      <c r="E422" s="6"/>
      <c r="F422" s="6"/>
    </row>
    <row r="423" spans="1:6">
      <c r="C423" s="1"/>
      <c r="D423" s="1"/>
      <c r="E423" s="6"/>
      <c r="F423" s="6"/>
    </row>
    <row r="424" spans="1:6">
      <c r="C424" s="1"/>
      <c r="D424" s="1"/>
      <c r="E424" s="6"/>
      <c r="F424" s="6"/>
    </row>
    <row r="425" spans="1:6">
      <c r="C425" s="1"/>
      <c r="D425" s="1"/>
      <c r="E425" s="6"/>
      <c r="F425" s="6"/>
    </row>
    <row r="426" spans="1:6">
      <c r="C426" s="1"/>
      <c r="D426" s="1"/>
      <c r="E426" s="6"/>
      <c r="F426" s="6"/>
    </row>
    <row r="427" spans="1:6">
      <c r="A427" s="1"/>
      <c r="C427" s="1"/>
      <c r="D427" s="1"/>
      <c r="E427" s="6"/>
      <c r="F427" s="6"/>
    </row>
    <row r="428" spans="1:6">
      <c r="B428" s="28"/>
      <c r="C428" s="1"/>
      <c r="D428" s="1"/>
      <c r="E428" s="6"/>
      <c r="F428" s="6"/>
    </row>
    <row r="429" spans="1:6">
      <c r="C429" s="1"/>
      <c r="D429" s="1"/>
      <c r="E429" s="6"/>
      <c r="F429" s="6"/>
    </row>
    <row r="430" spans="1:6">
      <c r="C430" s="1"/>
      <c r="D430" s="1"/>
      <c r="E430" s="6"/>
      <c r="F430" s="6"/>
    </row>
    <row r="431" spans="1:6">
      <c r="C431" s="1"/>
      <c r="D431" s="1"/>
      <c r="E431" s="6"/>
      <c r="F431" s="6"/>
    </row>
    <row r="432" spans="1:6">
      <c r="C432" s="1"/>
      <c r="D432" s="1"/>
      <c r="E432" s="6"/>
      <c r="F432" s="6"/>
    </row>
    <row r="433" spans="1:6">
      <c r="C433" s="1"/>
      <c r="D433" s="1"/>
      <c r="E433" s="6"/>
      <c r="F433" s="6"/>
    </row>
    <row r="434" spans="1:6">
      <c r="C434" s="1"/>
      <c r="D434" s="1"/>
      <c r="E434" s="6"/>
      <c r="F434" s="6"/>
    </row>
    <row r="435" spans="1:6">
      <c r="C435" s="1"/>
      <c r="D435" s="1"/>
      <c r="E435" s="6"/>
      <c r="F435" s="6"/>
    </row>
    <row r="436" spans="1:6">
      <c r="C436" s="1"/>
      <c r="D436" s="1"/>
      <c r="E436" s="6"/>
      <c r="F436" s="6"/>
    </row>
    <row r="437" spans="1:6">
      <c r="C437" s="1"/>
      <c r="D437" s="1"/>
      <c r="E437" s="6"/>
      <c r="F437" s="6"/>
    </row>
    <row r="438" spans="1:6">
      <c r="C438" s="1"/>
      <c r="D438" s="1"/>
      <c r="E438" s="6"/>
      <c r="F438" s="6"/>
    </row>
    <row r="439" spans="1:6">
      <c r="A439" s="1"/>
      <c r="C439" s="1"/>
      <c r="D439" s="1"/>
      <c r="E439" s="6"/>
      <c r="F439" s="6"/>
    </row>
    <row r="440" spans="1:6">
      <c r="B440" s="28"/>
      <c r="C440" s="1"/>
      <c r="D440" s="1"/>
      <c r="E440" s="6"/>
      <c r="F440" s="6"/>
    </row>
    <row r="441" spans="1:6">
      <c r="C441" s="1"/>
      <c r="D441" s="1"/>
      <c r="E441" s="6"/>
      <c r="F441" s="6"/>
    </row>
    <row r="442" spans="1:6">
      <c r="C442" s="1"/>
      <c r="D442" s="1"/>
      <c r="E442" s="6"/>
      <c r="F442" s="6"/>
    </row>
    <row r="443" spans="1:6">
      <c r="C443" s="1"/>
      <c r="D443" s="1"/>
      <c r="E443" s="6"/>
      <c r="F443" s="6"/>
    </row>
    <row r="444" spans="1:6">
      <c r="C444" s="1"/>
      <c r="D444" s="1"/>
      <c r="E444" s="6"/>
      <c r="F444" s="6"/>
    </row>
    <row r="445" spans="1:6">
      <c r="C445" s="1"/>
      <c r="D445" s="1"/>
      <c r="E445" s="6"/>
      <c r="F445" s="6"/>
    </row>
    <row r="446" spans="1:6">
      <c r="C446" s="1"/>
      <c r="D446" s="1"/>
      <c r="E446" s="6"/>
      <c r="F446" s="6"/>
    </row>
    <row r="447" spans="1:6">
      <c r="C447" s="1"/>
      <c r="D447" s="1"/>
      <c r="E447" s="6"/>
      <c r="F447" s="6"/>
    </row>
    <row r="448" spans="1:6">
      <c r="C448" s="1"/>
      <c r="D448" s="1"/>
      <c r="E448" s="6"/>
      <c r="F448" s="6"/>
    </row>
    <row r="449" spans="1:6">
      <c r="C449" s="1"/>
      <c r="D449" s="1"/>
      <c r="E449" s="6"/>
      <c r="F449" s="6"/>
    </row>
    <row r="450" spans="1:6">
      <c r="C450" s="1"/>
      <c r="D450" s="1"/>
      <c r="E450" s="6"/>
      <c r="F450" s="6"/>
    </row>
    <row r="451" spans="1:6">
      <c r="A451" s="1"/>
      <c r="C451" s="1"/>
      <c r="D451" s="1"/>
      <c r="E451" s="6"/>
      <c r="F451" s="6"/>
    </row>
    <row r="452" spans="1:6">
      <c r="B452" s="28"/>
      <c r="C452" s="1"/>
      <c r="D452" s="1"/>
      <c r="E452" s="6"/>
      <c r="F452" s="6"/>
    </row>
    <row r="453" spans="1:6">
      <c r="C453" s="1"/>
      <c r="D453" s="1"/>
      <c r="E453" s="6"/>
      <c r="F453" s="6"/>
    </row>
    <row r="454" spans="1:6">
      <c r="C454" s="1"/>
      <c r="D454" s="1"/>
      <c r="E454" s="6"/>
      <c r="F454" s="6"/>
    </row>
    <row r="455" spans="1:6">
      <c r="C455" s="1"/>
      <c r="D455" s="1"/>
      <c r="E455" s="6"/>
      <c r="F455" s="6"/>
    </row>
    <row r="456" spans="1:6">
      <c r="C456" s="1"/>
      <c r="D456" s="1"/>
      <c r="E456" s="6"/>
      <c r="F456" s="6"/>
    </row>
    <row r="457" spans="1:6">
      <c r="C457" s="1"/>
      <c r="D457" s="1"/>
      <c r="E457" s="6"/>
      <c r="F457" s="6"/>
    </row>
    <row r="458" spans="1:6">
      <c r="C458" s="1"/>
      <c r="D458" s="1"/>
      <c r="E458" s="6"/>
      <c r="F458" s="6"/>
    </row>
    <row r="459" spans="1:6">
      <c r="C459" s="1"/>
      <c r="D459" s="1"/>
      <c r="E459" s="6"/>
      <c r="F459" s="6"/>
    </row>
    <row r="460" spans="1:6">
      <c r="C460" s="1"/>
      <c r="D460" s="1"/>
      <c r="E460" s="6"/>
      <c r="F460" s="6"/>
    </row>
    <row r="461" spans="1:6">
      <c r="C461" s="1"/>
      <c r="D461" s="1"/>
      <c r="E461" s="6"/>
      <c r="F461" s="6"/>
    </row>
    <row r="462" spans="1:6">
      <c r="C462" s="1"/>
      <c r="D462" s="1"/>
      <c r="E462" s="6"/>
      <c r="F462" s="6"/>
    </row>
    <row r="463" spans="1:6">
      <c r="A463" s="1"/>
      <c r="C463" s="1"/>
      <c r="D463" s="1"/>
      <c r="E463" s="6"/>
      <c r="F463" s="6"/>
    </row>
    <row r="464" spans="1:6">
      <c r="B464" s="28"/>
      <c r="C464" s="1"/>
      <c r="D464" s="1"/>
      <c r="E464" s="6"/>
      <c r="F464" s="6"/>
    </row>
    <row r="465" spans="1:6">
      <c r="C465" s="1"/>
      <c r="D465" s="1"/>
      <c r="E465" s="6"/>
      <c r="F465" s="6"/>
    </row>
    <row r="466" spans="1:6">
      <c r="C466" s="1"/>
      <c r="D466" s="1"/>
      <c r="E466" s="6"/>
      <c r="F466" s="6"/>
    </row>
    <row r="467" spans="1:6">
      <c r="C467" s="1"/>
      <c r="D467" s="1"/>
      <c r="E467" s="6"/>
      <c r="F467" s="6"/>
    </row>
    <row r="468" spans="1:6">
      <c r="C468" s="1"/>
      <c r="D468" s="1"/>
      <c r="E468" s="6"/>
      <c r="F468" s="6"/>
    </row>
    <row r="469" spans="1:6">
      <c r="C469" s="1"/>
      <c r="D469" s="1"/>
      <c r="E469" s="6"/>
      <c r="F469" s="6"/>
    </row>
    <row r="470" spans="1:6">
      <c r="C470" s="1"/>
      <c r="D470" s="1"/>
      <c r="E470" s="6"/>
      <c r="F470" s="6"/>
    </row>
    <row r="471" spans="1:6">
      <c r="C471" s="1"/>
      <c r="D471" s="1"/>
      <c r="E471" s="6"/>
      <c r="F471" s="6"/>
    </row>
    <row r="472" spans="1:6">
      <c r="C472" s="1"/>
      <c r="D472" s="1"/>
      <c r="E472" s="6"/>
      <c r="F472" s="6"/>
    </row>
    <row r="473" spans="1:6">
      <c r="C473" s="1"/>
      <c r="D473" s="1"/>
      <c r="E473" s="6"/>
      <c r="F473" s="6"/>
    </row>
    <row r="474" spans="1:6">
      <c r="C474" s="1"/>
      <c r="D474" s="1"/>
      <c r="E474" s="6"/>
      <c r="F474" s="6"/>
    </row>
    <row r="475" spans="1:6">
      <c r="A475" s="1"/>
      <c r="C475" s="1"/>
      <c r="D475" s="1"/>
      <c r="E475" s="6"/>
      <c r="F475" s="6"/>
    </row>
    <row r="476" spans="1:6">
      <c r="B476" s="28"/>
      <c r="C476" s="1"/>
      <c r="D476" s="1"/>
      <c r="E476" s="6"/>
      <c r="F476" s="6"/>
    </row>
    <row r="477" spans="1:6">
      <c r="C477" s="1"/>
      <c r="D477" s="1"/>
      <c r="E477" s="6"/>
      <c r="F477" s="6"/>
    </row>
    <row r="478" spans="1:6">
      <c r="C478" s="1"/>
      <c r="D478" s="1"/>
      <c r="E478" s="6"/>
      <c r="F478" s="6"/>
    </row>
    <row r="479" spans="1:6">
      <c r="C479" s="1"/>
      <c r="D479" s="1"/>
      <c r="E479" s="6"/>
      <c r="F479" s="6"/>
    </row>
    <row r="480" spans="1:6">
      <c r="C480" s="1"/>
      <c r="D480" s="1"/>
      <c r="E480" s="6"/>
      <c r="F480" s="6"/>
    </row>
    <row r="481" spans="1:6">
      <c r="C481" s="1"/>
      <c r="D481" s="1"/>
      <c r="E481" s="6"/>
      <c r="F481" s="6"/>
    </row>
    <row r="482" spans="1:6">
      <c r="C482" s="1"/>
      <c r="D482" s="1"/>
      <c r="E482" s="6"/>
      <c r="F482" s="6"/>
    </row>
    <row r="483" spans="1:6">
      <c r="C483" s="1"/>
      <c r="D483" s="1"/>
      <c r="E483" s="6"/>
      <c r="F483" s="6"/>
    </row>
    <row r="484" spans="1:6">
      <c r="C484" s="1"/>
      <c r="D484" s="1"/>
      <c r="E484" s="6"/>
      <c r="F484" s="6"/>
    </row>
    <row r="485" spans="1:6">
      <c r="C485" s="1"/>
      <c r="D485" s="1"/>
      <c r="E485" s="6"/>
      <c r="F485" s="6"/>
    </row>
    <row r="486" spans="1:6">
      <c r="C486" s="1"/>
      <c r="D486" s="1"/>
      <c r="E486" s="6"/>
      <c r="F486" s="6"/>
    </row>
    <row r="487" spans="1:6">
      <c r="A487" s="1"/>
      <c r="C487" s="1"/>
      <c r="D487" s="1"/>
      <c r="E487" s="6"/>
      <c r="F487" s="6"/>
    </row>
    <row r="488" spans="1:6">
      <c r="B488" s="28"/>
      <c r="C488" s="1"/>
      <c r="D488" s="1"/>
      <c r="E488" s="6"/>
      <c r="F488" s="6"/>
    </row>
    <row r="489" spans="1:6">
      <c r="C489" s="1"/>
      <c r="D489" s="1"/>
      <c r="E489" s="6"/>
      <c r="F489" s="6"/>
    </row>
    <row r="490" spans="1:6">
      <c r="C490" s="1"/>
      <c r="D490" s="1"/>
      <c r="E490" s="6"/>
      <c r="F490" s="6"/>
    </row>
    <row r="491" spans="1:6">
      <c r="C491" s="1"/>
      <c r="D491" s="1"/>
      <c r="E491" s="6"/>
      <c r="F491" s="6"/>
    </row>
    <row r="492" spans="1:6">
      <c r="C492" s="1"/>
      <c r="D492" s="1"/>
      <c r="E492" s="6"/>
      <c r="F492" s="6"/>
    </row>
    <row r="493" spans="1:6">
      <c r="C493" s="1"/>
      <c r="D493" s="1"/>
      <c r="E493" s="6"/>
      <c r="F493" s="6"/>
    </row>
    <row r="494" spans="1:6">
      <c r="C494" s="1"/>
      <c r="D494" s="1"/>
      <c r="E494" s="6"/>
      <c r="F494" s="6"/>
    </row>
    <row r="495" spans="1:6">
      <c r="C495" s="1"/>
      <c r="D495" s="1"/>
      <c r="E495" s="6"/>
      <c r="F495" s="6"/>
    </row>
    <row r="496" spans="1:6">
      <c r="C496" s="1"/>
      <c r="D496" s="1"/>
      <c r="E496" s="6"/>
      <c r="F496" s="6"/>
    </row>
    <row r="497" spans="1:6">
      <c r="C497" s="1"/>
      <c r="D497" s="1"/>
      <c r="E497" s="6"/>
      <c r="F497" s="6"/>
    </row>
    <row r="498" spans="1:6">
      <c r="C498" s="1"/>
      <c r="D498" s="1"/>
      <c r="E498" s="6"/>
      <c r="F498" s="6"/>
    </row>
    <row r="499" spans="1:6">
      <c r="A499" s="1"/>
      <c r="C499" s="1"/>
      <c r="D499" s="1"/>
      <c r="E499" s="6"/>
      <c r="F499" s="6"/>
    </row>
    <row r="500" spans="1:6">
      <c r="B500" s="28"/>
      <c r="C500" s="1"/>
      <c r="D500" s="1"/>
      <c r="E500" s="6"/>
      <c r="F500" s="6"/>
    </row>
    <row r="501" spans="1:6">
      <c r="C501" s="1"/>
      <c r="D501" s="1"/>
      <c r="E501" s="6"/>
      <c r="F501" s="6"/>
    </row>
    <row r="502" spans="1:6">
      <c r="C502" s="1"/>
      <c r="D502" s="1"/>
      <c r="E502" s="6"/>
      <c r="F502" s="6"/>
    </row>
    <row r="503" spans="1:6">
      <c r="C503" s="1"/>
      <c r="D503" s="1"/>
      <c r="E503" s="6"/>
      <c r="F503" s="6"/>
    </row>
    <row r="504" spans="1:6">
      <c r="C504" s="1"/>
      <c r="D504" s="1"/>
      <c r="E504" s="6"/>
      <c r="F504" s="6"/>
    </row>
    <row r="505" spans="1:6">
      <c r="C505" s="1"/>
      <c r="D505" s="1"/>
      <c r="E505" s="6"/>
      <c r="F505" s="6"/>
    </row>
    <row r="506" spans="1:6">
      <c r="C506" s="1"/>
      <c r="D506" s="1"/>
      <c r="E506" s="6"/>
      <c r="F506" s="6"/>
    </row>
    <row r="507" spans="1:6">
      <c r="C507" s="1"/>
      <c r="D507" s="1"/>
      <c r="E507" s="6"/>
      <c r="F507" s="6"/>
    </row>
    <row r="508" spans="1:6">
      <c r="C508" s="1"/>
      <c r="D508" s="1"/>
      <c r="E508" s="6"/>
      <c r="F508" s="6"/>
    </row>
    <row r="509" spans="1:6">
      <c r="C509" s="1"/>
      <c r="D509" s="1"/>
      <c r="E509" s="6"/>
      <c r="F509" s="6"/>
    </row>
    <row r="510" spans="1:6">
      <c r="C510" s="1"/>
      <c r="D510" s="1"/>
      <c r="E510" s="6"/>
      <c r="F510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7"/>
  <sheetViews>
    <sheetView workbookViewId="0"/>
  </sheetViews>
  <sheetFormatPr defaultColWidth="12.5703125" defaultRowHeight="15.75" customHeight="1"/>
  <sheetData>
    <row r="1" spans="1:26" ht="12.75">
      <c r="C1" s="43">
        <v>2022</v>
      </c>
      <c r="D1" s="422"/>
      <c r="E1" s="422"/>
      <c r="F1" s="422"/>
      <c r="G1" s="423"/>
      <c r="H1" s="43">
        <v>2023</v>
      </c>
      <c r="I1" s="422"/>
      <c r="J1" s="422"/>
      <c r="K1" s="422"/>
      <c r="L1" s="423"/>
    </row>
    <row r="2" spans="1:26" ht="12.75">
      <c r="B2" s="44" t="s">
        <v>202</v>
      </c>
      <c r="C2" s="101" t="s">
        <v>190</v>
      </c>
      <c r="D2" s="101" t="s">
        <v>191</v>
      </c>
      <c r="E2" s="101" t="s">
        <v>192</v>
      </c>
      <c r="F2" s="101" t="s">
        <v>193</v>
      </c>
      <c r="G2" s="451" t="s">
        <v>201</v>
      </c>
      <c r="H2" s="101" t="s">
        <v>190</v>
      </c>
      <c r="I2" s="101" t="s">
        <v>191</v>
      </c>
      <c r="J2" s="101" t="s">
        <v>192</v>
      </c>
      <c r="K2" s="101" t="s">
        <v>193</v>
      </c>
      <c r="L2" s="451" t="s">
        <v>201</v>
      </c>
    </row>
    <row r="3" spans="1:26" ht="15.75" customHeight="1">
      <c r="A3" s="102" t="str">
        <f>Divident_all!B3</f>
        <v>AMD</v>
      </c>
      <c r="B3" s="455">
        <f t="shared" ref="B3:B64" si="0">G3+L3</f>
        <v>128.97</v>
      </c>
      <c r="C3" s="104">
        <v>0</v>
      </c>
      <c r="D3" s="104">
        <v>0</v>
      </c>
      <c r="E3" s="104">
        <v>34.979999999999997</v>
      </c>
      <c r="F3" s="104">
        <f>29.99+24</f>
        <v>53.989999999999995</v>
      </c>
      <c r="G3" s="456">
        <f t="shared" ref="G3:G64" si="1">SUM(C3:F3)</f>
        <v>88.97</v>
      </c>
      <c r="H3" s="104">
        <v>40</v>
      </c>
      <c r="I3" s="104"/>
      <c r="J3" s="104"/>
      <c r="K3" s="104"/>
      <c r="L3" s="456">
        <f t="shared" ref="L3:L64" si="2">SUM(H3:K3)</f>
        <v>40</v>
      </c>
    </row>
    <row r="4" spans="1:26" ht="15.75" customHeight="1">
      <c r="A4" s="105" t="e">
        <f>Divident_all!#REF!</f>
        <v>#REF!</v>
      </c>
      <c r="B4" s="457">
        <f t="shared" si="0"/>
        <v>123.24</v>
      </c>
      <c r="C4" s="107">
        <v>0</v>
      </c>
      <c r="D4" s="107">
        <v>0</v>
      </c>
      <c r="E4" s="107">
        <v>88.24</v>
      </c>
      <c r="F4" s="107">
        <v>15</v>
      </c>
      <c r="G4" s="458">
        <f t="shared" si="1"/>
        <v>103.24</v>
      </c>
      <c r="H4" s="107">
        <v>20</v>
      </c>
      <c r="I4" s="107"/>
      <c r="J4" s="107"/>
      <c r="K4" s="107"/>
      <c r="L4" s="458">
        <f t="shared" si="2"/>
        <v>20</v>
      </c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ht="15.75" customHeight="1">
      <c r="A5" s="109" t="e">
        <f>Divident_all!#REF!</f>
        <v>#REF!</v>
      </c>
      <c r="B5" s="457">
        <f t="shared" si="0"/>
        <v>25</v>
      </c>
      <c r="C5" s="107">
        <v>0</v>
      </c>
      <c r="D5" s="107">
        <v>0</v>
      </c>
      <c r="E5" s="107">
        <v>0</v>
      </c>
      <c r="F5" s="107">
        <v>10</v>
      </c>
      <c r="G5" s="458">
        <f t="shared" si="1"/>
        <v>10</v>
      </c>
      <c r="H5" s="107">
        <v>15</v>
      </c>
      <c r="I5" s="107"/>
      <c r="J5" s="107"/>
      <c r="K5" s="107"/>
      <c r="L5" s="458">
        <f t="shared" si="2"/>
        <v>15</v>
      </c>
    </row>
    <row r="6" spans="1:26" ht="15.75" customHeight="1">
      <c r="A6" s="105" t="e">
        <f>Divident_all!#REF!</f>
        <v>#REF!</v>
      </c>
      <c r="B6" s="457">
        <f t="shared" si="0"/>
        <v>79.179999999999993</v>
      </c>
      <c r="C6" s="107">
        <v>0</v>
      </c>
      <c r="D6" s="107">
        <v>0</v>
      </c>
      <c r="E6" s="107">
        <v>34.19</v>
      </c>
      <c r="F6" s="107">
        <v>20</v>
      </c>
      <c r="G6" s="458">
        <f t="shared" si="1"/>
        <v>54.19</v>
      </c>
      <c r="H6" s="107">
        <v>24.99</v>
      </c>
      <c r="I6" s="107"/>
      <c r="J6" s="107"/>
      <c r="K6" s="107"/>
      <c r="L6" s="458">
        <f t="shared" si="2"/>
        <v>24.99</v>
      </c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 ht="15.75" customHeight="1">
      <c r="A7" s="109" t="e">
        <f>Divident_all!#REF!</f>
        <v>#REF!</v>
      </c>
      <c r="B7" s="457">
        <f t="shared" si="0"/>
        <v>94.99</v>
      </c>
      <c r="C7" s="107">
        <v>0</v>
      </c>
      <c r="D7" s="107">
        <v>0</v>
      </c>
      <c r="E7" s="107">
        <v>15</v>
      </c>
      <c r="F7" s="107">
        <v>25</v>
      </c>
      <c r="G7" s="458">
        <f t="shared" si="1"/>
        <v>40</v>
      </c>
      <c r="H7" s="107">
        <f>29.99+25</f>
        <v>54.989999999999995</v>
      </c>
      <c r="I7" s="107"/>
      <c r="J7" s="107"/>
      <c r="K7" s="107"/>
      <c r="L7" s="458">
        <f t="shared" si="2"/>
        <v>54.989999999999995</v>
      </c>
    </row>
    <row r="8" spans="1:26" ht="15.75" customHeight="1">
      <c r="A8" s="105" t="e">
        <f>Divident_all!#REF!</f>
        <v>#REF!</v>
      </c>
      <c r="B8" s="457">
        <f t="shared" si="0"/>
        <v>44.980000000000004</v>
      </c>
      <c r="C8" s="107">
        <v>0</v>
      </c>
      <c r="D8" s="107">
        <v>0</v>
      </c>
      <c r="E8" s="107">
        <v>15</v>
      </c>
      <c r="F8" s="107">
        <v>10</v>
      </c>
      <c r="G8" s="458">
        <f t="shared" si="1"/>
        <v>25</v>
      </c>
      <c r="H8" s="107">
        <f>9.99+9.99</f>
        <v>19.98</v>
      </c>
      <c r="I8" s="107"/>
      <c r="J8" s="107"/>
      <c r="K8" s="107"/>
      <c r="L8" s="458">
        <f t="shared" si="2"/>
        <v>19.98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15.75" customHeight="1">
      <c r="A9" s="109" t="e">
        <f>Divident_all!#REF!</f>
        <v>#REF!</v>
      </c>
      <c r="B9" s="457">
        <f t="shared" si="0"/>
        <v>116.14</v>
      </c>
      <c r="C9" s="107">
        <v>0</v>
      </c>
      <c r="D9" s="107">
        <v>0</v>
      </c>
      <c r="E9" s="107">
        <v>71.14</v>
      </c>
      <c r="F9" s="107">
        <v>20</v>
      </c>
      <c r="G9" s="458">
        <f t="shared" si="1"/>
        <v>91.14</v>
      </c>
      <c r="H9" s="107">
        <v>25</v>
      </c>
      <c r="I9" s="107"/>
      <c r="J9" s="107"/>
      <c r="K9" s="107"/>
      <c r="L9" s="458">
        <f t="shared" si="2"/>
        <v>25</v>
      </c>
    </row>
    <row r="10" spans="1:26" ht="15.75" customHeight="1">
      <c r="A10" s="105" t="e">
        <f>Divident_all!#REF!</f>
        <v>#REF!</v>
      </c>
      <c r="B10" s="457">
        <f t="shared" si="0"/>
        <v>119.99</v>
      </c>
      <c r="C10" s="107">
        <v>0</v>
      </c>
      <c r="D10" s="107">
        <v>0</v>
      </c>
      <c r="E10" s="107">
        <v>35</v>
      </c>
      <c r="F10" s="107">
        <f>29.99+20</f>
        <v>49.989999999999995</v>
      </c>
      <c r="G10" s="458">
        <f t="shared" si="1"/>
        <v>84.99</v>
      </c>
      <c r="H10" s="107">
        <v>35</v>
      </c>
      <c r="I10" s="107"/>
      <c r="J10" s="107"/>
      <c r="K10" s="107"/>
      <c r="L10" s="458">
        <f t="shared" si="2"/>
        <v>35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 ht="15.75" customHeight="1">
      <c r="A11" s="109" t="e">
        <f>Divident_all!#REF!</f>
        <v>#REF!</v>
      </c>
      <c r="B11" s="457">
        <f t="shared" si="0"/>
        <v>84.99</v>
      </c>
      <c r="C11" s="107">
        <v>0</v>
      </c>
      <c r="D11" s="107">
        <v>0</v>
      </c>
      <c r="E11" s="107">
        <v>25</v>
      </c>
      <c r="F11" s="107">
        <v>30</v>
      </c>
      <c r="G11" s="458">
        <f t="shared" si="1"/>
        <v>55</v>
      </c>
      <c r="H11" s="107">
        <v>29.99</v>
      </c>
      <c r="I11" s="107"/>
      <c r="J11" s="107"/>
      <c r="K11" s="107"/>
      <c r="L11" s="458">
        <f t="shared" si="2"/>
        <v>29.99</v>
      </c>
    </row>
    <row r="12" spans="1:26" ht="15.75" customHeight="1">
      <c r="A12" s="105" t="e">
        <f>Divident_all!#REF!</f>
        <v>#REF!</v>
      </c>
      <c r="B12" s="457">
        <f t="shared" si="0"/>
        <v>84.97999999999999</v>
      </c>
      <c r="C12" s="107">
        <v>0</v>
      </c>
      <c r="D12" s="107">
        <v>0</v>
      </c>
      <c r="E12" s="107">
        <v>29.99</v>
      </c>
      <c r="F12" s="107">
        <v>25</v>
      </c>
      <c r="G12" s="458">
        <f t="shared" si="1"/>
        <v>54.989999999999995</v>
      </c>
      <c r="H12" s="107">
        <v>29.99</v>
      </c>
      <c r="I12" s="107"/>
      <c r="J12" s="107"/>
      <c r="K12" s="107"/>
      <c r="L12" s="458">
        <f t="shared" si="2"/>
        <v>29.99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5.75" customHeight="1">
      <c r="A13" s="109" t="e">
        <f>Divident_all!#REF!</f>
        <v>#REF!</v>
      </c>
      <c r="B13" s="457">
        <f t="shared" si="0"/>
        <v>95</v>
      </c>
      <c r="C13" s="107">
        <v>0</v>
      </c>
      <c r="D13" s="107">
        <v>0</v>
      </c>
      <c r="E13" s="107">
        <v>35</v>
      </c>
      <c r="F13" s="107">
        <v>25</v>
      </c>
      <c r="G13" s="458">
        <f t="shared" si="1"/>
        <v>60</v>
      </c>
      <c r="H13" s="107">
        <v>35</v>
      </c>
      <c r="I13" s="107"/>
      <c r="J13" s="107"/>
      <c r="K13" s="107"/>
      <c r="L13" s="458">
        <f t="shared" si="2"/>
        <v>35</v>
      </c>
    </row>
    <row r="14" spans="1:26" ht="15.75" customHeight="1">
      <c r="A14" s="105" t="e">
        <f>Divident_all!#REF!</f>
        <v>#REF!</v>
      </c>
      <c r="B14" s="457">
        <f t="shared" si="0"/>
        <v>72.81</v>
      </c>
      <c r="C14" s="107">
        <v>0</v>
      </c>
      <c r="D14" s="107">
        <v>0</v>
      </c>
      <c r="E14" s="107">
        <v>37.81</v>
      </c>
      <c r="F14" s="107">
        <v>15</v>
      </c>
      <c r="G14" s="458">
        <f t="shared" si="1"/>
        <v>52.81</v>
      </c>
      <c r="H14" s="107">
        <v>20</v>
      </c>
      <c r="I14" s="107"/>
      <c r="J14" s="107"/>
      <c r="K14" s="107"/>
      <c r="L14" s="458">
        <f t="shared" si="2"/>
        <v>20</v>
      </c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5.75" customHeight="1">
      <c r="A15" s="109" t="e">
        <f>Divident_all!#REF!</f>
        <v>#REF!</v>
      </c>
      <c r="B15" s="457">
        <f t="shared" si="0"/>
        <v>77.81</v>
      </c>
      <c r="C15" s="107">
        <v>0</v>
      </c>
      <c r="D15" s="107">
        <v>0</v>
      </c>
      <c r="E15" s="107">
        <v>37.81</v>
      </c>
      <c r="F15" s="107">
        <v>20</v>
      </c>
      <c r="G15" s="458">
        <f t="shared" si="1"/>
        <v>57.81</v>
      </c>
      <c r="H15" s="107">
        <v>20</v>
      </c>
      <c r="I15" s="107"/>
      <c r="J15" s="107"/>
      <c r="K15" s="107"/>
      <c r="L15" s="458">
        <f t="shared" si="2"/>
        <v>20</v>
      </c>
    </row>
    <row r="16" spans="1:26" ht="15.75" customHeight="1">
      <c r="A16" s="105" t="e">
        <f>Divident_all!#REF!</f>
        <v>#REF!</v>
      </c>
      <c r="B16" s="457">
        <f t="shared" si="0"/>
        <v>82.8</v>
      </c>
      <c r="C16" s="107">
        <v>0</v>
      </c>
      <c r="D16" s="107">
        <v>0</v>
      </c>
      <c r="E16" s="107">
        <v>47.8</v>
      </c>
      <c r="F16" s="107">
        <v>20</v>
      </c>
      <c r="G16" s="458">
        <f t="shared" si="1"/>
        <v>67.8</v>
      </c>
      <c r="H16" s="107">
        <v>15</v>
      </c>
      <c r="I16" s="107"/>
      <c r="J16" s="107"/>
      <c r="K16" s="107"/>
      <c r="L16" s="458">
        <f t="shared" si="2"/>
        <v>15</v>
      </c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5.75" customHeight="1">
      <c r="A17" s="109" t="e">
        <f>Divident_all!#REF!</f>
        <v>#REF!</v>
      </c>
      <c r="B17" s="457">
        <f t="shared" si="0"/>
        <v>45</v>
      </c>
      <c r="C17" s="107">
        <v>0</v>
      </c>
      <c r="D17" s="107">
        <v>0</v>
      </c>
      <c r="E17" s="107">
        <v>0</v>
      </c>
      <c r="F17" s="107">
        <v>20</v>
      </c>
      <c r="G17" s="458">
        <f t="shared" si="1"/>
        <v>20</v>
      </c>
      <c r="H17" s="107">
        <v>25</v>
      </c>
      <c r="I17" s="107"/>
      <c r="J17" s="107"/>
      <c r="K17" s="107"/>
      <c r="L17" s="458">
        <f t="shared" si="2"/>
        <v>25</v>
      </c>
    </row>
    <row r="18" spans="1:26" ht="15.75" customHeight="1">
      <c r="A18" s="105" t="e">
        <f>Divident_all!#REF!</f>
        <v>#REF!</v>
      </c>
      <c r="B18" s="457">
        <f t="shared" si="0"/>
        <v>65</v>
      </c>
      <c r="C18" s="107">
        <v>0</v>
      </c>
      <c r="D18" s="107">
        <v>0</v>
      </c>
      <c r="E18" s="107">
        <v>0</v>
      </c>
      <c r="F18" s="107">
        <f>15+25</f>
        <v>40</v>
      </c>
      <c r="G18" s="458">
        <f t="shared" si="1"/>
        <v>40</v>
      </c>
      <c r="H18" s="107">
        <v>25</v>
      </c>
      <c r="I18" s="107"/>
      <c r="J18" s="107"/>
      <c r="K18" s="107"/>
      <c r="L18" s="458">
        <f t="shared" si="2"/>
        <v>25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spans="1:26" ht="15.75" customHeight="1">
      <c r="A19" s="109" t="e">
        <f>Divident_all!#REF!</f>
        <v>#REF!</v>
      </c>
      <c r="B19" s="457">
        <f t="shared" si="0"/>
        <v>40</v>
      </c>
      <c r="C19" s="107">
        <v>0</v>
      </c>
      <c r="D19" s="107">
        <v>0</v>
      </c>
      <c r="E19" s="107">
        <v>0</v>
      </c>
      <c r="F19" s="107">
        <v>20</v>
      </c>
      <c r="G19" s="458">
        <f t="shared" si="1"/>
        <v>20</v>
      </c>
      <c r="H19" s="107">
        <v>20</v>
      </c>
      <c r="I19" s="107"/>
      <c r="J19" s="107"/>
      <c r="K19" s="107"/>
      <c r="L19" s="458">
        <f t="shared" si="2"/>
        <v>20</v>
      </c>
    </row>
    <row r="20" spans="1:26" ht="15.75" customHeight="1">
      <c r="A20" s="105" t="e">
        <f>Divident_all!#REF!</f>
        <v>#REF!</v>
      </c>
      <c r="B20" s="457">
        <f t="shared" si="0"/>
        <v>151.53</v>
      </c>
      <c r="C20" s="107">
        <v>0</v>
      </c>
      <c r="D20" s="107">
        <v>0</v>
      </c>
      <c r="E20" s="107">
        <v>81.53</v>
      </c>
      <c r="F20" s="107">
        <f>25+10</f>
        <v>35</v>
      </c>
      <c r="G20" s="458">
        <f t="shared" si="1"/>
        <v>116.53</v>
      </c>
      <c r="H20" s="107">
        <v>35</v>
      </c>
      <c r="I20" s="107"/>
      <c r="J20" s="107"/>
      <c r="K20" s="107"/>
      <c r="L20" s="458">
        <f t="shared" si="2"/>
        <v>35</v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ht="15.75" customHeight="1">
      <c r="A21" s="109" t="e">
        <f>Divident_all!#REF!</f>
        <v>#REF!</v>
      </c>
      <c r="B21" s="457">
        <f t="shared" si="0"/>
        <v>55</v>
      </c>
      <c r="C21" s="107">
        <v>0</v>
      </c>
      <c r="D21" s="107">
        <v>0</v>
      </c>
      <c r="E21" s="107">
        <v>0</v>
      </c>
      <c r="F21" s="107">
        <f>25+30</f>
        <v>55</v>
      </c>
      <c r="G21" s="458">
        <f t="shared" si="1"/>
        <v>55</v>
      </c>
      <c r="H21" s="107">
        <v>0</v>
      </c>
      <c r="I21" s="107"/>
      <c r="J21" s="107"/>
      <c r="K21" s="107"/>
      <c r="L21" s="458">
        <f t="shared" si="2"/>
        <v>0</v>
      </c>
    </row>
    <row r="22" spans="1:26" ht="15.75" customHeight="1">
      <c r="A22" s="105" t="e">
        <f>Divident_all!#REF!</f>
        <v>#REF!</v>
      </c>
      <c r="B22" s="457">
        <f t="shared" si="0"/>
        <v>105</v>
      </c>
      <c r="C22" s="107">
        <v>0</v>
      </c>
      <c r="D22" s="107">
        <v>0</v>
      </c>
      <c r="E22" s="107">
        <v>0</v>
      </c>
      <c r="F22" s="107">
        <v>35</v>
      </c>
      <c r="G22" s="458">
        <f t="shared" si="1"/>
        <v>35</v>
      </c>
      <c r="H22" s="107">
        <f>35+35</f>
        <v>70</v>
      </c>
      <c r="I22" s="107"/>
      <c r="J22" s="107"/>
      <c r="K22" s="107"/>
      <c r="L22" s="458">
        <f t="shared" si="2"/>
        <v>70</v>
      </c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ht="15.75" customHeight="1">
      <c r="A23" s="109" t="e">
        <f>Divident_all!#REF!</f>
        <v>#REF!</v>
      </c>
      <c r="B23" s="457">
        <f t="shared" si="0"/>
        <v>55</v>
      </c>
      <c r="C23" s="107">
        <v>0</v>
      </c>
      <c r="D23" s="107">
        <v>0</v>
      </c>
      <c r="E23" s="107">
        <v>0</v>
      </c>
      <c r="F23" s="107">
        <v>15</v>
      </c>
      <c r="G23" s="458">
        <f t="shared" si="1"/>
        <v>15</v>
      </c>
      <c r="H23" s="107">
        <f>20+20</f>
        <v>40</v>
      </c>
      <c r="I23" s="107"/>
      <c r="J23" s="107"/>
      <c r="K23" s="107"/>
      <c r="L23" s="458">
        <f t="shared" si="2"/>
        <v>40</v>
      </c>
    </row>
    <row r="24" spans="1:26" ht="15.75" customHeight="1">
      <c r="A24" s="105" t="e">
        <f>Divident_all!#REF!</f>
        <v>#REF!</v>
      </c>
      <c r="B24" s="457">
        <f t="shared" si="0"/>
        <v>74.989999999999995</v>
      </c>
      <c r="C24" s="107">
        <v>0</v>
      </c>
      <c r="D24" s="107">
        <v>0</v>
      </c>
      <c r="E24" s="107">
        <v>0</v>
      </c>
      <c r="F24" s="107">
        <v>20</v>
      </c>
      <c r="G24" s="458">
        <f t="shared" si="1"/>
        <v>20</v>
      </c>
      <c r="H24" s="107">
        <f t="shared" ref="H24:H25" si="3">29.99+25</f>
        <v>54.989999999999995</v>
      </c>
      <c r="I24" s="107"/>
      <c r="J24" s="107"/>
      <c r="K24" s="107"/>
      <c r="L24" s="458">
        <f t="shared" si="2"/>
        <v>54.989999999999995</v>
      </c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spans="1:26" ht="15.75" customHeight="1">
      <c r="A25" s="109" t="e">
        <f>Divident_all!#REF!</f>
        <v>#REF!</v>
      </c>
      <c r="B25" s="457">
        <f t="shared" si="0"/>
        <v>84.97999999999999</v>
      </c>
      <c r="C25" s="107">
        <v>0</v>
      </c>
      <c r="D25" s="107">
        <v>0</v>
      </c>
      <c r="E25" s="107">
        <v>0</v>
      </c>
      <c r="F25" s="107">
        <v>29.99</v>
      </c>
      <c r="G25" s="458">
        <f t="shared" si="1"/>
        <v>29.99</v>
      </c>
      <c r="H25" s="107">
        <f t="shared" si="3"/>
        <v>54.989999999999995</v>
      </c>
      <c r="I25" s="107"/>
      <c r="J25" s="107"/>
      <c r="K25" s="107"/>
      <c r="L25" s="458">
        <f t="shared" si="2"/>
        <v>54.989999999999995</v>
      </c>
    </row>
    <row r="26" spans="1:26" ht="15.75" customHeight="1">
      <c r="A26" s="105" t="e">
        <f>Divident_all!#REF!</f>
        <v>#REF!</v>
      </c>
      <c r="B26" s="457">
        <f t="shared" si="0"/>
        <v>155.94999999999999</v>
      </c>
      <c r="C26" s="107">
        <v>0</v>
      </c>
      <c r="D26" s="107">
        <v>0</v>
      </c>
      <c r="E26" s="107">
        <v>110.95</v>
      </c>
      <c r="F26" s="107">
        <v>20</v>
      </c>
      <c r="G26" s="458">
        <f t="shared" si="1"/>
        <v>130.94999999999999</v>
      </c>
      <c r="H26" s="107">
        <v>25</v>
      </c>
      <c r="I26" s="107"/>
      <c r="J26" s="107"/>
      <c r="K26" s="107"/>
      <c r="L26" s="458">
        <f t="shared" si="2"/>
        <v>25</v>
      </c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spans="1:26" ht="15.75" customHeight="1">
      <c r="A27" s="109" t="e">
        <f>Divident_all!#REF!</f>
        <v>#REF!</v>
      </c>
      <c r="B27" s="457">
        <f t="shared" si="0"/>
        <v>54.989999999999995</v>
      </c>
      <c r="C27" s="107">
        <v>0</v>
      </c>
      <c r="D27" s="107">
        <v>0</v>
      </c>
      <c r="E27" s="107">
        <v>0</v>
      </c>
      <c r="F27" s="107">
        <v>0</v>
      </c>
      <c r="G27" s="458">
        <f t="shared" si="1"/>
        <v>0</v>
      </c>
      <c r="H27" s="107">
        <f>29.99+25</f>
        <v>54.989999999999995</v>
      </c>
      <c r="I27" s="107"/>
      <c r="J27" s="107"/>
      <c r="K27" s="107"/>
      <c r="L27" s="458">
        <f t="shared" si="2"/>
        <v>54.989999999999995</v>
      </c>
    </row>
    <row r="28" spans="1:26" ht="15.75" customHeight="1">
      <c r="A28" s="105" t="e">
        <f>Divident_all!#REF!</f>
        <v>#REF!</v>
      </c>
      <c r="B28" s="457">
        <f t="shared" si="0"/>
        <v>79.989999999999995</v>
      </c>
      <c r="C28" s="107">
        <v>0</v>
      </c>
      <c r="D28" s="107">
        <v>0</v>
      </c>
      <c r="E28" s="107">
        <v>29.99</v>
      </c>
      <c r="F28" s="107">
        <v>25</v>
      </c>
      <c r="G28" s="458">
        <f t="shared" si="1"/>
        <v>54.989999999999995</v>
      </c>
      <c r="H28" s="107">
        <v>25</v>
      </c>
      <c r="I28" s="107"/>
      <c r="J28" s="107"/>
      <c r="K28" s="107"/>
      <c r="L28" s="458">
        <f t="shared" si="2"/>
        <v>25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spans="1:26" ht="15.75" customHeight="1">
      <c r="A29" s="109" t="e">
        <f>Divident_all!#REF!</f>
        <v>#REF!</v>
      </c>
      <c r="B29" s="457">
        <f t="shared" si="0"/>
        <v>89.97</v>
      </c>
      <c r="C29" s="107">
        <v>0</v>
      </c>
      <c r="D29" s="107">
        <v>0</v>
      </c>
      <c r="E29" s="107">
        <v>0</v>
      </c>
      <c r="F29" s="107">
        <v>29.99</v>
      </c>
      <c r="G29" s="458">
        <f t="shared" si="1"/>
        <v>29.99</v>
      </c>
      <c r="H29" s="107">
        <f>29.99+29.99</f>
        <v>59.98</v>
      </c>
      <c r="I29" s="107"/>
      <c r="J29" s="107"/>
      <c r="K29" s="107"/>
      <c r="L29" s="458">
        <f t="shared" si="2"/>
        <v>59.98</v>
      </c>
    </row>
    <row r="30" spans="1:26" ht="15.75" customHeight="1">
      <c r="A30" s="105" t="e">
        <f>Divident_all!#REF!</f>
        <v>#REF!</v>
      </c>
      <c r="B30" s="457">
        <f t="shared" si="0"/>
        <v>35</v>
      </c>
      <c r="C30" s="107">
        <v>0</v>
      </c>
      <c r="D30" s="107">
        <v>0</v>
      </c>
      <c r="E30" s="107">
        <v>0</v>
      </c>
      <c r="F30" s="107">
        <v>15</v>
      </c>
      <c r="G30" s="458">
        <f t="shared" si="1"/>
        <v>15</v>
      </c>
      <c r="H30" s="107">
        <v>20</v>
      </c>
      <c r="I30" s="107"/>
      <c r="J30" s="107"/>
      <c r="K30" s="107"/>
      <c r="L30" s="458">
        <f t="shared" si="2"/>
        <v>20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spans="1:26" ht="15.75" customHeight="1">
      <c r="A31" s="109" t="e">
        <f>Divident_all!#REF!</f>
        <v>#REF!</v>
      </c>
      <c r="B31" s="457">
        <f t="shared" si="0"/>
        <v>94.990000000000009</v>
      </c>
      <c r="C31" s="107">
        <v>0</v>
      </c>
      <c r="D31" s="107">
        <v>0</v>
      </c>
      <c r="E31" s="107">
        <v>0</v>
      </c>
      <c r="F31" s="107">
        <f>49.99+30</f>
        <v>79.990000000000009</v>
      </c>
      <c r="G31" s="458">
        <f t="shared" si="1"/>
        <v>79.990000000000009</v>
      </c>
      <c r="H31" s="107">
        <v>15</v>
      </c>
      <c r="I31" s="107"/>
      <c r="J31" s="107"/>
      <c r="K31" s="107"/>
      <c r="L31" s="458">
        <f t="shared" si="2"/>
        <v>15</v>
      </c>
    </row>
    <row r="32" spans="1:26" ht="15.75" customHeight="1">
      <c r="A32" s="105" t="e">
        <f>Divident_all!#REF!</f>
        <v>#REF!</v>
      </c>
      <c r="B32" s="457">
        <f t="shared" si="0"/>
        <v>69.989999999999995</v>
      </c>
      <c r="C32" s="107">
        <v>0</v>
      </c>
      <c r="D32" s="107">
        <v>0</v>
      </c>
      <c r="E32" s="107">
        <v>0</v>
      </c>
      <c r="F32" s="107">
        <v>20</v>
      </c>
      <c r="G32" s="458">
        <f t="shared" si="1"/>
        <v>20</v>
      </c>
      <c r="H32" s="107">
        <f>29.99+20</f>
        <v>49.989999999999995</v>
      </c>
      <c r="I32" s="107"/>
      <c r="J32" s="107"/>
      <c r="K32" s="107"/>
      <c r="L32" s="458">
        <f t="shared" si="2"/>
        <v>49.989999999999995</v>
      </c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spans="1:26" ht="15.75" customHeight="1">
      <c r="A33" s="105" t="e">
        <f>Divident_all!#REF!</f>
        <v>#REF!</v>
      </c>
      <c r="B33" s="457">
        <f t="shared" si="0"/>
        <v>72.77</v>
      </c>
      <c r="C33" s="107">
        <v>0</v>
      </c>
      <c r="D33" s="107">
        <v>0</v>
      </c>
      <c r="E33" s="107">
        <v>42.79</v>
      </c>
      <c r="F33" s="107">
        <v>10</v>
      </c>
      <c r="G33" s="458">
        <f t="shared" si="1"/>
        <v>52.79</v>
      </c>
      <c r="H33" s="107">
        <f t="shared" ref="H33:H34" si="4">9.99+9.99</f>
        <v>19.98</v>
      </c>
      <c r="I33" s="107"/>
      <c r="J33" s="107"/>
      <c r="K33" s="107"/>
      <c r="L33" s="458">
        <f t="shared" si="2"/>
        <v>19.98</v>
      </c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6" ht="15.75" customHeight="1">
      <c r="A34" s="109" t="e">
        <f>Divident_all!#REF!</f>
        <v>#REF!</v>
      </c>
      <c r="B34" s="457">
        <f t="shared" si="0"/>
        <v>29.97</v>
      </c>
      <c r="C34" s="107">
        <v>0</v>
      </c>
      <c r="D34" s="107">
        <v>0</v>
      </c>
      <c r="E34" s="107">
        <v>0</v>
      </c>
      <c r="F34" s="107">
        <v>9.99</v>
      </c>
      <c r="G34" s="458">
        <f t="shared" si="1"/>
        <v>9.99</v>
      </c>
      <c r="H34" s="107">
        <f t="shared" si="4"/>
        <v>19.98</v>
      </c>
      <c r="I34" s="107"/>
      <c r="J34" s="107"/>
      <c r="K34" s="107"/>
      <c r="L34" s="458">
        <f t="shared" si="2"/>
        <v>19.98</v>
      </c>
    </row>
    <row r="35" spans="1:26" ht="15.75" customHeight="1">
      <c r="A35" s="105" t="e">
        <f>Divident_all!#REF!</f>
        <v>#REF!</v>
      </c>
      <c r="B35" s="457">
        <f t="shared" si="0"/>
        <v>45</v>
      </c>
      <c r="C35" s="107">
        <v>0</v>
      </c>
      <c r="D35" s="107">
        <v>0</v>
      </c>
      <c r="E35" s="107">
        <v>0</v>
      </c>
      <c r="F35" s="107">
        <v>15</v>
      </c>
      <c r="G35" s="458">
        <f t="shared" si="1"/>
        <v>15</v>
      </c>
      <c r="H35" s="107">
        <f t="shared" ref="H35:H36" si="5">15+15</f>
        <v>30</v>
      </c>
      <c r="I35" s="107"/>
      <c r="J35" s="107"/>
      <c r="K35" s="107"/>
      <c r="L35" s="458">
        <f t="shared" si="2"/>
        <v>30</v>
      </c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6" ht="17.25">
      <c r="A36" s="105" t="e">
        <f>Divident_all!#REF!</f>
        <v>#REF!</v>
      </c>
      <c r="B36" s="457">
        <f t="shared" si="0"/>
        <v>45</v>
      </c>
      <c r="C36" s="107">
        <v>0</v>
      </c>
      <c r="D36" s="107">
        <v>0</v>
      </c>
      <c r="E36" s="107">
        <v>0</v>
      </c>
      <c r="F36" s="107">
        <v>15</v>
      </c>
      <c r="G36" s="458">
        <f t="shared" si="1"/>
        <v>15</v>
      </c>
      <c r="H36" s="107">
        <f t="shared" si="5"/>
        <v>30</v>
      </c>
      <c r="I36" s="107"/>
      <c r="J36" s="107"/>
      <c r="K36" s="107"/>
      <c r="L36" s="458">
        <f t="shared" si="2"/>
        <v>30</v>
      </c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6" ht="17.25">
      <c r="A37" s="109" t="e">
        <f>Divident_all!#REF!</f>
        <v>#REF!</v>
      </c>
      <c r="B37" s="457">
        <f t="shared" si="0"/>
        <v>70</v>
      </c>
      <c r="C37" s="107">
        <v>0</v>
      </c>
      <c r="D37" s="107">
        <v>0</v>
      </c>
      <c r="E37" s="107">
        <v>35</v>
      </c>
      <c r="F37" s="107">
        <v>20</v>
      </c>
      <c r="G37" s="458">
        <f t="shared" si="1"/>
        <v>55</v>
      </c>
      <c r="H37" s="107">
        <v>15</v>
      </c>
      <c r="I37" s="107"/>
      <c r="J37" s="107"/>
      <c r="K37" s="107"/>
      <c r="L37" s="458">
        <f t="shared" si="2"/>
        <v>15</v>
      </c>
    </row>
    <row r="38" spans="1:26" ht="17.25">
      <c r="A38" s="105" t="e">
        <f>Divident_all!#REF!</f>
        <v>#REF!</v>
      </c>
      <c r="B38" s="457">
        <f t="shared" si="0"/>
        <v>54.98</v>
      </c>
      <c r="C38" s="107">
        <v>0</v>
      </c>
      <c r="D38" s="107">
        <v>0</v>
      </c>
      <c r="E38" s="107">
        <v>29.99</v>
      </c>
      <c r="F38" s="107">
        <v>15</v>
      </c>
      <c r="G38" s="458">
        <f t="shared" si="1"/>
        <v>44.989999999999995</v>
      </c>
      <c r="H38" s="107">
        <v>9.99</v>
      </c>
      <c r="I38" s="107"/>
      <c r="J38" s="107"/>
      <c r="K38" s="107"/>
      <c r="L38" s="458">
        <f t="shared" si="2"/>
        <v>9.99</v>
      </c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spans="1:26" ht="17.25">
      <c r="A39" s="109" t="e">
        <f>Divident_all!#REF!</f>
        <v>#REF!</v>
      </c>
      <c r="B39" s="457">
        <f t="shared" si="0"/>
        <v>55</v>
      </c>
      <c r="C39" s="107">
        <v>0</v>
      </c>
      <c r="D39" s="107">
        <v>0</v>
      </c>
      <c r="E39" s="107">
        <v>25</v>
      </c>
      <c r="F39" s="107">
        <v>15</v>
      </c>
      <c r="G39" s="458">
        <f t="shared" si="1"/>
        <v>40</v>
      </c>
      <c r="H39" s="107">
        <v>15</v>
      </c>
      <c r="I39" s="107"/>
      <c r="J39" s="107"/>
      <c r="K39" s="107"/>
      <c r="L39" s="458">
        <f t="shared" si="2"/>
        <v>15</v>
      </c>
    </row>
    <row r="40" spans="1:26" ht="17.25">
      <c r="A40" s="105" t="e">
        <f>Divident_all!#REF!</f>
        <v>#REF!</v>
      </c>
      <c r="B40" s="457">
        <f t="shared" si="0"/>
        <v>329.97</v>
      </c>
      <c r="C40" s="107">
        <v>0</v>
      </c>
      <c r="D40" s="107">
        <v>0</v>
      </c>
      <c r="E40" s="107">
        <v>29.99</v>
      </c>
      <c r="F40" s="107">
        <f>35+30+35</f>
        <v>100</v>
      </c>
      <c r="G40" s="458">
        <f t="shared" si="1"/>
        <v>129.99</v>
      </c>
      <c r="H40" s="107">
        <f>69.99+60+69.99</f>
        <v>199.98000000000002</v>
      </c>
      <c r="I40" s="107"/>
      <c r="J40" s="107"/>
      <c r="K40" s="107"/>
      <c r="L40" s="458">
        <f t="shared" si="2"/>
        <v>199.98000000000002</v>
      </c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spans="1:26" ht="17.25">
      <c r="A41" s="109" t="e">
        <f>Divident_all!#REF!</f>
        <v>#REF!</v>
      </c>
      <c r="B41" s="457">
        <f t="shared" si="0"/>
        <v>45</v>
      </c>
      <c r="C41" s="107">
        <v>0</v>
      </c>
      <c r="D41" s="107">
        <v>0</v>
      </c>
      <c r="E41" s="107">
        <v>0</v>
      </c>
      <c r="F41" s="107">
        <v>20</v>
      </c>
      <c r="G41" s="458">
        <f t="shared" si="1"/>
        <v>20</v>
      </c>
      <c r="H41" s="107">
        <v>25</v>
      </c>
      <c r="I41" s="107"/>
      <c r="J41" s="107"/>
      <c r="K41" s="107"/>
      <c r="L41" s="458">
        <f t="shared" si="2"/>
        <v>25</v>
      </c>
    </row>
    <row r="42" spans="1:26" ht="17.25">
      <c r="A42" s="105" t="e">
        <f>Divident_all!#REF!</f>
        <v>#REF!</v>
      </c>
      <c r="B42" s="457">
        <f t="shared" si="0"/>
        <v>74.97</v>
      </c>
      <c r="C42" s="107">
        <v>0</v>
      </c>
      <c r="D42" s="107">
        <v>0</v>
      </c>
      <c r="E42" s="107">
        <v>19.98</v>
      </c>
      <c r="F42" s="107">
        <v>25</v>
      </c>
      <c r="G42" s="458">
        <f t="shared" si="1"/>
        <v>44.980000000000004</v>
      </c>
      <c r="H42" s="107">
        <v>29.99</v>
      </c>
      <c r="I42" s="107"/>
      <c r="J42" s="107"/>
      <c r="K42" s="107"/>
      <c r="L42" s="458">
        <f t="shared" si="2"/>
        <v>29.99</v>
      </c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spans="1:26" ht="17.25">
      <c r="A43" s="109" t="e">
        <f>Divident_all!#REF!</f>
        <v>#REF!</v>
      </c>
      <c r="B43" s="457">
        <f t="shared" si="0"/>
        <v>89.97999999999999</v>
      </c>
      <c r="C43" s="107">
        <v>0</v>
      </c>
      <c r="D43" s="107">
        <v>0</v>
      </c>
      <c r="E43" s="107">
        <v>34.979999999999997</v>
      </c>
      <c r="F43" s="107">
        <v>30</v>
      </c>
      <c r="G43" s="458">
        <f t="shared" si="1"/>
        <v>64.97999999999999</v>
      </c>
      <c r="H43" s="107">
        <v>25</v>
      </c>
      <c r="I43" s="107"/>
      <c r="J43" s="107"/>
      <c r="K43" s="107"/>
      <c r="L43" s="458">
        <f t="shared" si="2"/>
        <v>25</v>
      </c>
    </row>
    <row r="44" spans="1:26" ht="17.25">
      <c r="A44" s="105" t="e">
        <f>Divident_all!#REF!</f>
        <v>#REF!</v>
      </c>
      <c r="B44" s="457">
        <f t="shared" si="0"/>
        <v>229.96999999999997</v>
      </c>
      <c r="C44" s="107">
        <v>0</v>
      </c>
      <c r="D44" s="107">
        <v>0</v>
      </c>
      <c r="E44" s="107">
        <v>40</v>
      </c>
      <c r="F44" s="107">
        <f>20+25+30</f>
        <v>75</v>
      </c>
      <c r="G44" s="458">
        <f t="shared" si="1"/>
        <v>115</v>
      </c>
      <c r="H44" s="107">
        <f>29.99+25+29.99+29.99</f>
        <v>114.96999999999998</v>
      </c>
      <c r="I44" s="107"/>
      <c r="J44" s="107"/>
      <c r="K44" s="107"/>
      <c r="L44" s="458">
        <f t="shared" si="2"/>
        <v>114.96999999999998</v>
      </c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spans="1:26" ht="17.25">
      <c r="A45" s="109" t="e">
        <f>Divident_all!#REF!</f>
        <v>#REF!</v>
      </c>
      <c r="B45" s="457">
        <f t="shared" si="0"/>
        <v>113.97999999999999</v>
      </c>
      <c r="C45" s="107">
        <v>0</v>
      </c>
      <c r="D45" s="107">
        <v>0</v>
      </c>
      <c r="E45" s="107">
        <v>0</v>
      </c>
      <c r="F45" s="107">
        <v>29</v>
      </c>
      <c r="G45" s="458">
        <f t="shared" si="1"/>
        <v>29</v>
      </c>
      <c r="H45" s="107">
        <f>29.99+25+29.99</f>
        <v>84.97999999999999</v>
      </c>
      <c r="I45" s="107"/>
      <c r="J45" s="107"/>
      <c r="K45" s="107"/>
      <c r="L45" s="458">
        <f t="shared" si="2"/>
        <v>84.97999999999999</v>
      </c>
    </row>
    <row r="46" spans="1:26" ht="17.25">
      <c r="A46" s="105" t="e">
        <f>Divident_all!#REF!</f>
        <v>#REF!</v>
      </c>
      <c r="B46" s="457">
        <f t="shared" si="0"/>
        <v>99.99</v>
      </c>
      <c r="C46" s="107">
        <v>0</v>
      </c>
      <c r="D46" s="107">
        <v>0</v>
      </c>
      <c r="E46" s="107">
        <v>20</v>
      </c>
      <c r="F46" s="107">
        <f>25+25</f>
        <v>50</v>
      </c>
      <c r="G46" s="458">
        <f t="shared" si="1"/>
        <v>70</v>
      </c>
      <c r="H46" s="107">
        <v>29.99</v>
      </c>
      <c r="I46" s="107"/>
      <c r="J46" s="107"/>
      <c r="K46" s="107"/>
      <c r="L46" s="458">
        <f t="shared" si="2"/>
        <v>29.99</v>
      </c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26" ht="17.25">
      <c r="A47" s="109" t="e">
        <f>Divident_all!#REF!</f>
        <v>#REF!</v>
      </c>
      <c r="B47" s="457">
        <f t="shared" si="0"/>
        <v>117</v>
      </c>
      <c r="C47" s="107">
        <v>0</v>
      </c>
      <c r="D47" s="107">
        <v>0</v>
      </c>
      <c r="E47" s="107">
        <v>20</v>
      </c>
      <c r="F47" s="107">
        <f>27+35</f>
        <v>62</v>
      </c>
      <c r="G47" s="458">
        <f t="shared" si="1"/>
        <v>82</v>
      </c>
      <c r="H47" s="107">
        <v>35</v>
      </c>
      <c r="I47" s="107"/>
      <c r="J47" s="107"/>
      <c r="K47" s="107"/>
      <c r="L47" s="458">
        <f t="shared" si="2"/>
        <v>35</v>
      </c>
    </row>
    <row r="48" spans="1:26" ht="17.25">
      <c r="A48" s="105" t="e">
        <f>Divident_all!#REF!</f>
        <v>#REF!</v>
      </c>
      <c r="B48" s="457">
        <f t="shared" si="0"/>
        <v>98</v>
      </c>
      <c r="C48" s="107">
        <v>0</v>
      </c>
      <c r="D48" s="107">
        <v>0</v>
      </c>
      <c r="E48" s="107">
        <v>0</v>
      </c>
      <c r="F48" s="107">
        <v>58</v>
      </c>
      <c r="G48" s="458">
        <f t="shared" si="1"/>
        <v>58</v>
      </c>
      <c r="H48" s="107">
        <v>40</v>
      </c>
      <c r="I48" s="107"/>
      <c r="J48" s="107"/>
      <c r="K48" s="107"/>
      <c r="L48" s="458">
        <f t="shared" si="2"/>
        <v>40</v>
      </c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spans="1:26" ht="17.25">
      <c r="A49" s="109" t="e">
        <f>Divident_all!#REF!</f>
        <v>#REF!</v>
      </c>
      <c r="B49" s="457">
        <f t="shared" si="0"/>
        <v>62.8</v>
      </c>
      <c r="C49" s="107">
        <v>0</v>
      </c>
      <c r="D49" s="107">
        <v>0</v>
      </c>
      <c r="E49" s="107">
        <v>27.8</v>
      </c>
      <c r="F49" s="107">
        <v>15</v>
      </c>
      <c r="G49" s="458">
        <f t="shared" si="1"/>
        <v>42.8</v>
      </c>
      <c r="H49" s="107">
        <v>20</v>
      </c>
      <c r="I49" s="107"/>
      <c r="J49" s="107"/>
      <c r="K49" s="107"/>
      <c r="L49" s="458">
        <f t="shared" si="2"/>
        <v>20</v>
      </c>
    </row>
    <row r="50" spans="1:26" ht="17.25">
      <c r="A50" s="105" t="e">
        <f>Divident_all!#REF!</f>
        <v>#REF!</v>
      </c>
      <c r="B50" s="457">
        <f t="shared" si="0"/>
        <v>67.789999999999992</v>
      </c>
      <c r="C50" s="107">
        <v>0</v>
      </c>
      <c r="D50" s="107">
        <v>0</v>
      </c>
      <c r="E50" s="107">
        <v>37.79</v>
      </c>
      <c r="F50" s="107">
        <v>15</v>
      </c>
      <c r="G50" s="458">
        <f t="shared" si="1"/>
        <v>52.79</v>
      </c>
      <c r="H50" s="107">
        <v>15</v>
      </c>
      <c r="I50" s="107"/>
      <c r="J50" s="107"/>
      <c r="K50" s="107"/>
      <c r="L50" s="458">
        <f t="shared" si="2"/>
        <v>15</v>
      </c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spans="1:26" ht="17.25">
      <c r="A51" s="109" t="e">
        <f>Divident_all!#REF!</f>
        <v>#REF!</v>
      </c>
      <c r="B51" s="457">
        <f t="shared" si="0"/>
        <v>77.42</v>
      </c>
      <c r="C51" s="107">
        <v>0</v>
      </c>
      <c r="D51" s="107">
        <v>0</v>
      </c>
      <c r="E51" s="107">
        <v>47.45</v>
      </c>
      <c r="F51" s="107">
        <v>9.99</v>
      </c>
      <c r="G51" s="458">
        <f t="shared" si="1"/>
        <v>57.440000000000005</v>
      </c>
      <c r="H51" s="107">
        <f t="shared" ref="H51:H52" si="6">9.99+9.99</f>
        <v>19.98</v>
      </c>
      <c r="I51" s="107"/>
      <c r="J51" s="107"/>
      <c r="K51" s="107"/>
      <c r="L51" s="458">
        <f t="shared" si="2"/>
        <v>19.98</v>
      </c>
    </row>
    <row r="52" spans="1:26" ht="17.25">
      <c r="A52" s="105" t="e">
        <f>Divident_all!#REF!</f>
        <v>#REF!</v>
      </c>
      <c r="B52" s="457">
        <f t="shared" si="0"/>
        <v>35.06</v>
      </c>
      <c r="C52" s="107">
        <v>0</v>
      </c>
      <c r="D52" s="107">
        <v>0</v>
      </c>
      <c r="E52" s="107">
        <v>5.09</v>
      </c>
      <c r="F52" s="107">
        <v>9.99</v>
      </c>
      <c r="G52" s="458">
        <f t="shared" si="1"/>
        <v>15.08</v>
      </c>
      <c r="H52" s="107">
        <f t="shared" si="6"/>
        <v>19.98</v>
      </c>
      <c r="I52" s="107"/>
      <c r="J52" s="107"/>
      <c r="K52" s="107"/>
      <c r="L52" s="458">
        <f t="shared" si="2"/>
        <v>19.98</v>
      </c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spans="1:26" ht="17.25">
      <c r="A53" s="109" t="e">
        <f>Divident_all!#REF!</f>
        <v>#REF!</v>
      </c>
      <c r="B53" s="457">
        <f t="shared" si="0"/>
        <v>74.989999999999995</v>
      </c>
      <c r="C53" s="107">
        <v>0</v>
      </c>
      <c r="D53" s="107">
        <v>0</v>
      </c>
      <c r="E53" s="107">
        <v>0</v>
      </c>
      <c r="F53" s="107">
        <v>20</v>
      </c>
      <c r="G53" s="458">
        <f t="shared" si="1"/>
        <v>20</v>
      </c>
      <c r="H53" s="107">
        <f>29.99+25</f>
        <v>54.989999999999995</v>
      </c>
      <c r="I53" s="107"/>
      <c r="J53" s="107"/>
      <c r="K53" s="107"/>
      <c r="L53" s="458">
        <f t="shared" si="2"/>
        <v>54.989999999999995</v>
      </c>
    </row>
    <row r="54" spans="1:26" ht="17.25">
      <c r="A54" s="105" t="e">
        <f>Divident_all!#REF!</f>
        <v>#REF!</v>
      </c>
      <c r="B54" s="457">
        <f t="shared" si="0"/>
        <v>72.789999999999992</v>
      </c>
      <c r="C54" s="107">
        <v>0</v>
      </c>
      <c r="D54" s="107">
        <v>0</v>
      </c>
      <c r="E54" s="107">
        <v>22.79</v>
      </c>
      <c r="F54" s="107">
        <v>15</v>
      </c>
      <c r="G54" s="458">
        <f t="shared" si="1"/>
        <v>37.79</v>
      </c>
      <c r="H54" s="107">
        <f>15+20</f>
        <v>35</v>
      </c>
      <c r="I54" s="107"/>
      <c r="J54" s="107"/>
      <c r="K54" s="107"/>
      <c r="L54" s="458">
        <f t="shared" si="2"/>
        <v>35</v>
      </c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spans="1:26" ht="17.25">
      <c r="A55" s="109" t="e">
        <f>Divident_all!#REF!</f>
        <v>#REF!</v>
      </c>
      <c r="B55" s="457">
        <f t="shared" si="0"/>
        <v>78.349999999999994</v>
      </c>
      <c r="C55" s="107">
        <v>0</v>
      </c>
      <c r="D55" s="107">
        <v>0</v>
      </c>
      <c r="E55" s="107">
        <v>38.35</v>
      </c>
      <c r="F55" s="107">
        <f>15+25</f>
        <v>40</v>
      </c>
      <c r="G55" s="458">
        <f t="shared" si="1"/>
        <v>78.349999999999994</v>
      </c>
      <c r="H55" s="107">
        <v>0</v>
      </c>
      <c r="I55" s="107"/>
      <c r="J55" s="107"/>
      <c r="K55" s="107"/>
      <c r="L55" s="458">
        <f t="shared" si="2"/>
        <v>0</v>
      </c>
    </row>
    <row r="56" spans="1:26" ht="17.25">
      <c r="A56" s="105" t="e">
        <f>Divident_all!#REF!</f>
        <v>#REF!</v>
      </c>
      <c r="B56" s="457">
        <f t="shared" si="0"/>
        <v>90</v>
      </c>
      <c r="C56" s="107">
        <v>0</v>
      </c>
      <c r="D56" s="107">
        <v>0</v>
      </c>
      <c r="E56" s="107">
        <v>40</v>
      </c>
      <c r="F56" s="107">
        <v>25</v>
      </c>
      <c r="G56" s="458">
        <f t="shared" si="1"/>
        <v>65</v>
      </c>
      <c r="H56" s="107">
        <v>25</v>
      </c>
      <c r="I56" s="107"/>
      <c r="J56" s="107"/>
      <c r="K56" s="107"/>
      <c r="L56" s="458">
        <f t="shared" si="2"/>
        <v>25</v>
      </c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spans="1:26" ht="17.25">
      <c r="A57" s="109" t="e">
        <f>Divident_all!#REF!</f>
        <v>#REF!</v>
      </c>
      <c r="B57" s="457">
        <f t="shared" si="0"/>
        <v>97.8</v>
      </c>
      <c r="C57" s="107">
        <v>0</v>
      </c>
      <c r="D57" s="107">
        <v>0</v>
      </c>
      <c r="E57" s="107">
        <v>37.81</v>
      </c>
      <c r="F57" s="107">
        <f>30</f>
        <v>30</v>
      </c>
      <c r="G57" s="458">
        <f t="shared" si="1"/>
        <v>67.81</v>
      </c>
      <c r="H57" s="107">
        <v>29.99</v>
      </c>
      <c r="I57" s="107"/>
      <c r="J57" s="107"/>
      <c r="K57" s="107"/>
      <c r="L57" s="458">
        <f t="shared" si="2"/>
        <v>29.99</v>
      </c>
    </row>
    <row r="58" spans="1:26" ht="17.25">
      <c r="A58" s="105" t="e">
        <f>Divident_all!#REF!</f>
        <v>#REF!</v>
      </c>
      <c r="B58" s="457">
        <f t="shared" si="0"/>
        <v>84.99</v>
      </c>
      <c r="C58" s="107">
        <v>0</v>
      </c>
      <c r="D58" s="107">
        <v>0</v>
      </c>
      <c r="E58" s="107">
        <v>25</v>
      </c>
      <c r="F58" s="107">
        <v>30</v>
      </c>
      <c r="G58" s="458">
        <f t="shared" si="1"/>
        <v>55</v>
      </c>
      <c r="H58" s="107">
        <v>29.99</v>
      </c>
      <c r="I58" s="107"/>
      <c r="J58" s="107"/>
      <c r="K58" s="107"/>
      <c r="L58" s="458">
        <f t="shared" si="2"/>
        <v>29.99</v>
      </c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spans="1:26" ht="17.25">
      <c r="A59" s="109" t="e">
        <f>Divident_all!#REF!</f>
        <v>#REF!</v>
      </c>
      <c r="B59" s="457">
        <f t="shared" si="0"/>
        <v>65</v>
      </c>
      <c r="C59" s="107">
        <v>0</v>
      </c>
      <c r="D59" s="107">
        <v>0</v>
      </c>
      <c r="E59" s="107">
        <v>0</v>
      </c>
      <c r="F59" s="107">
        <v>20</v>
      </c>
      <c r="G59" s="458">
        <f t="shared" si="1"/>
        <v>20</v>
      </c>
      <c r="H59" s="107">
        <f>20+25</f>
        <v>45</v>
      </c>
      <c r="I59" s="107"/>
      <c r="J59" s="107"/>
      <c r="K59" s="107"/>
      <c r="L59" s="458">
        <f t="shared" si="2"/>
        <v>45</v>
      </c>
    </row>
    <row r="60" spans="1:26" ht="17.25">
      <c r="A60" s="105" t="e">
        <f>Divident_all!#REF!</f>
        <v>#REF!</v>
      </c>
      <c r="B60" s="457">
        <f t="shared" si="0"/>
        <v>60</v>
      </c>
      <c r="C60" s="107">
        <v>0</v>
      </c>
      <c r="D60" s="107">
        <v>0</v>
      </c>
      <c r="E60" s="107">
        <v>0</v>
      </c>
      <c r="F60" s="107">
        <v>20</v>
      </c>
      <c r="G60" s="458">
        <f t="shared" si="1"/>
        <v>20</v>
      </c>
      <c r="H60" s="107">
        <f>20+20</f>
        <v>40</v>
      </c>
      <c r="I60" s="107"/>
      <c r="J60" s="107"/>
      <c r="K60" s="107"/>
      <c r="L60" s="458">
        <f t="shared" si="2"/>
        <v>40</v>
      </c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spans="1:26" ht="17.25">
      <c r="A61" s="109" t="e">
        <f>Divident_all!#REF!</f>
        <v>#REF!</v>
      </c>
      <c r="B61" s="457">
        <f t="shared" si="0"/>
        <v>74.989999999999995</v>
      </c>
      <c r="C61" s="107">
        <v>0</v>
      </c>
      <c r="D61" s="107">
        <v>0</v>
      </c>
      <c r="E61" s="107">
        <v>0</v>
      </c>
      <c r="F61" s="107">
        <v>30</v>
      </c>
      <c r="G61" s="458">
        <f t="shared" si="1"/>
        <v>30</v>
      </c>
      <c r="H61" s="107">
        <f>15+29.99</f>
        <v>44.989999999999995</v>
      </c>
      <c r="I61" s="107"/>
      <c r="J61" s="107"/>
      <c r="K61" s="107"/>
      <c r="L61" s="458">
        <f t="shared" si="2"/>
        <v>44.989999999999995</v>
      </c>
    </row>
    <row r="62" spans="1:26" ht="17.25">
      <c r="A62" s="105" t="e">
        <f>Divident_all!#REF!</f>
        <v>#REF!</v>
      </c>
      <c r="B62" s="457">
        <f t="shared" si="0"/>
        <v>29.97</v>
      </c>
      <c r="C62" s="107">
        <v>0</v>
      </c>
      <c r="D62" s="107">
        <v>0</v>
      </c>
      <c r="E62" s="107">
        <v>0</v>
      </c>
      <c r="F62" s="107">
        <v>9.99</v>
      </c>
      <c r="G62" s="458">
        <f t="shared" si="1"/>
        <v>9.99</v>
      </c>
      <c r="H62" s="107">
        <f>9.99+9.99</f>
        <v>19.98</v>
      </c>
      <c r="I62" s="107"/>
      <c r="J62" s="107"/>
      <c r="K62" s="107"/>
      <c r="L62" s="458">
        <f t="shared" si="2"/>
        <v>19.98</v>
      </c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spans="1:26" ht="17.25">
      <c r="A63" s="109" t="e">
        <f>Divident_all!#REF!</f>
        <v>#REF!</v>
      </c>
      <c r="B63" s="457">
        <f t="shared" si="0"/>
        <v>119.99</v>
      </c>
      <c r="C63" s="107">
        <v>0</v>
      </c>
      <c r="D63" s="107">
        <v>0</v>
      </c>
      <c r="E63" s="107">
        <v>0</v>
      </c>
      <c r="F63" s="107">
        <f>20+30</f>
        <v>50</v>
      </c>
      <c r="G63" s="458">
        <f t="shared" si="1"/>
        <v>50</v>
      </c>
      <c r="H63" s="107">
        <f>20+20+29.99</f>
        <v>69.989999999999995</v>
      </c>
      <c r="I63" s="107"/>
      <c r="J63" s="107"/>
      <c r="K63" s="107"/>
      <c r="L63" s="458">
        <f t="shared" si="2"/>
        <v>69.989999999999995</v>
      </c>
    </row>
    <row r="64" spans="1:26" ht="17.25">
      <c r="A64" s="105" t="e">
        <f>Divident_all!#REF!</f>
        <v>#REF!</v>
      </c>
      <c r="B64" s="457">
        <f t="shared" si="0"/>
        <v>110</v>
      </c>
      <c r="C64" s="107">
        <v>0</v>
      </c>
      <c r="D64" s="107">
        <v>0</v>
      </c>
      <c r="E64" s="107">
        <v>75</v>
      </c>
      <c r="F64" s="107">
        <v>20</v>
      </c>
      <c r="G64" s="458">
        <f t="shared" si="1"/>
        <v>95</v>
      </c>
      <c r="H64" s="107">
        <v>15</v>
      </c>
      <c r="I64" s="107"/>
      <c r="J64" s="107"/>
      <c r="K64" s="107"/>
      <c r="L64" s="458">
        <f t="shared" si="2"/>
        <v>15</v>
      </c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spans="1:1" ht="17.25">
      <c r="A65" s="114">
        <f>Divident_all!B4</f>
        <v>0</v>
      </c>
    </row>
    <row r="997" spans="1:1" ht="17.25">
      <c r="A997" s="114">
        <f>Divident_all!B935</f>
        <v>0</v>
      </c>
    </row>
  </sheetData>
  <conditionalFormatting sqref="C3:L64">
    <cfRule type="containsBlanks" dxfId="5" priority="1">
      <formula>LEN(TRIM(C3))=0</formula>
    </cfRule>
  </conditionalFormatting>
  <conditionalFormatting sqref="C3:L64">
    <cfRule type="cellIs" dxfId="4" priority="2" operator="equal">
      <formula>0</formula>
    </cfRule>
  </conditionalFormatting>
  <conditionalFormatting sqref="D43 I43">
    <cfRule type="cellIs" dxfId="3" priority="3" operator="equal">
      <formula>100</formula>
    </cfRule>
  </conditionalFormatting>
  <conditionalFormatting sqref="C3:L64">
    <cfRule type="cellIs" dxfId="2" priority="4" operator="greaterThanOrEqual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27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40</v>
      </c>
      <c r="L2" s="264">
        <f ca="1">((L4*4)*100)/(500+K2)</f>
        <v>4.3941595306949193</v>
      </c>
      <c r="M2" s="12">
        <v>25</v>
      </c>
      <c r="N2" s="12"/>
      <c r="O2" s="12"/>
      <c r="P2" s="12"/>
    </row>
    <row r="3" spans="1:33" ht="15.75" customHeight="1">
      <c r="A3" s="265" t="s">
        <v>25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AVERAGE(C5:C26)</f>
        <v>#REF!</v>
      </c>
      <c r="D4" s="118" t="e">
        <f t="shared" si="0"/>
        <v>#REF!</v>
      </c>
      <c r="E4" s="267">
        <f t="shared" ca="1" si="0"/>
        <v>0.54890180214443829</v>
      </c>
      <c r="F4" s="116"/>
      <c r="G4" s="247">
        <f ca="1">SUM(G5:G26)</f>
        <v>125.72038895440667</v>
      </c>
      <c r="H4" s="116">
        <f>500+K2+M2-SUM(H5:H26)</f>
        <v>0</v>
      </c>
      <c r="I4" s="118"/>
      <c r="J4" s="118" t="e">
        <f t="shared" ref="J4:L4" ca="1" si="1">SUM(J5:J26)</f>
        <v>#REF!</v>
      </c>
      <c r="K4" s="123">
        <f t="shared" ca="1" si="1"/>
        <v>20.785869839838497</v>
      </c>
      <c r="L4" s="123">
        <f t="shared" ca="1" si="1"/>
        <v>5.9321153664381416</v>
      </c>
      <c r="M4" s="117">
        <f t="shared" ref="M4:M26" ca="1" si="2">L4/K4</f>
        <v>0.28539173063946371</v>
      </c>
      <c r="N4" s="125"/>
      <c r="O4" s="125"/>
      <c r="P4" s="126"/>
    </row>
    <row r="5" spans="1:33" ht="12.75">
      <c r="A5" s="459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(""Currency:USDRON""))/D5)+F5)"),2.7506444083731)</f>
        <v>2.7506444083731001</v>
      </c>
      <c r="F5" s="269" t="e">
        <f>Divident_all!#REF!</f>
        <v>#REF!</v>
      </c>
      <c r="G5" s="270">
        <f ca="1">IFERROR(__xludf.DUMMYFUNCTION("H5/GOOGLEFINANCE (""Currency:USDRON"")"),7.78798869629069)</f>
        <v>7.7879886962906903</v>
      </c>
      <c r="H5" s="272">
        <v>35</v>
      </c>
      <c r="I5" s="273" t="e">
        <f>D5/C5</f>
        <v>#REF!</v>
      </c>
      <c r="J5" s="270" t="e">
        <f t="shared" ref="J5:J26" ca="1" si="3">((E5*C5)/100)</f>
        <v>#REF!</v>
      </c>
      <c r="K5" s="319">
        <f ca="1">IFERROR(__xludf.DUMMYFUNCTION("(F5*C5)/100*GOOGLEFINANCE (""Currency:USDRON"")"),3.72727710991999)</f>
        <v>3.72727710991999</v>
      </c>
      <c r="L5" s="275">
        <f ca="1">IFERROR(__xludf.DUMMYFUNCTION("(((H5/GOOGLEFINANCE (""Currency:USDRON""))/D5)*C5)/100*GOOGLEFINANCE (""Currency:USDRON"")"),1.21739130434782)</f>
        <v>1.2173913043478199</v>
      </c>
      <c r="M5" s="276">
        <f t="shared" ca="1" si="2"/>
        <v>0.32661679516872644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460" t="s">
        <v>204</v>
      </c>
      <c r="B6" s="310" t="e">
        <f>Divident_all!#REF!</f>
        <v>#REF!</v>
      </c>
      <c r="C6" s="310" t="e">
        <f>Divident_all!#REF!</f>
        <v>#REF!</v>
      </c>
      <c r="D6" s="311" t="e">
        <f>Divident_all!#REF!</f>
        <v>#REF!</v>
      </c>
      <c r="E6" s="312">
        <f ca="1">IFERROR(__xludf.DUMMYFUNCTION("(((H6/GOOGLEFINANCE (""Currency:USDRON""))/D6)+F6)"),2.21006485753232)</f>
        <v>2.2100648575323198</v>
      </c>
      <c r="F6" s="310" t="e">
        <f>Divident_all!#REF!</f>
        <v>#REF!</v>
      </c>
      <c r="G6" s="311">
        <f ca="1">IFERROR(__xludf.DUMMYFUNCTION("H6/GOOGLEFINANCE (""Currency:usdRON"")"),15.5759773925813)</f>
        <v>15.575977392581301</v>
      </c>
      <c r="H6" s="313">
        <v>70</v>
      </c>
      <c r="I6" s="314" t="e">
        <f>D6/(C6*3)</f>
        <v>#REF!</v>
      </c>
      <c r="J6" s="311" t="e">
        <f t="shared" ca="1" si="3"/>
        <v>#REF!</v>
      </c>
      <c r="K6" s="315">
        <f ca="1">IFERROR(__xludf.DUMMYFUNCTION("(F6*C6)/100*GOOGLEFINANCE (""Currency:usdRON"")"),2.2457488456975)</f>
        <v>2.2457488456974999</v>
      </c>
      <c r="L6" s="316">
        <f ca="1">IFERROR(__xludf.DUMMYFUNCTION("(((H6/GOOGLEFINANCE (""Currency:usdRON""))/D6)*C6)/100*GOOGLEFINANCE (""Currency:usdRON"")"),0.485620585267406)</f>
        <v>0.48562058526740598</v>
      </c>
      <c r="M6" s="276">
        <f t="shared" ca="1" si="2"/>
        <v>0.21623993537735903</v>
      </c>
      <c r="N6" s="317" t="e">
        <f>Divident_all!#REF!</f>
        <v>#REF!</v>
      </c>
      <c r="O6" s="317" t="e">
        <f>Divident_all!#REF!</f>
        <v>#REF!</v>
      </c>
      <c r="P6" s="318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459"/>
      <c r="B7" s="461" t="e">
        <f>Divident_all!#REF!</f>
        <v>#REF!</v>
      </c>
      <c r="C7" s="461" t="e">
        <f>Divident_all!#REF!</f>
        <v>#REF!</v>
      </c>
      <c r="D7" s="462" t="e">
        <f>Divident_all!#REF!</f>
        <v>#REF!</v>
      </c>
      <c r="E7" s="463">
        <f ca="1">IFERROR(__xludf.DUMMYFUNCTION("(((H7/GOOGLEFINANCE (""Currency:USDRON""))/D7)+F7)"),0.698138459014148)</f>
        <v>0.69813845901414795</v>
      </c>
      <c r="F7" s="461" t="e">
        <f>Divident_all!#REF!</f>
        <v>#REF!</v>
      </c>
      <c r="G7" s="462">
        <f ca="1">IFERROR(__xludf.DUMMYFUNCTION("H7/GOOGLEFINANCE (""Currency:USDRON"")"),6.67541888253487)</f>
        <v>6.6754188825348697</v>
      </c>
      <c r="H7" s="464">
        <v>30</v>
      </c>
      <c r="I7" s="465" t="e">
        <f t="shared" ref="I7:I9" si="4">D7/C7</f>
        <v>#REF!</v>
      </c>
      <c r="J7" s="462" t="e">
        <f t="shared" ca="1" si="3"/>
        <v>#REF!</v>
      </c>
      <c r="K7" s="466">
        <f ca="1">IFERROR(__xludf.DUMMYFUNCTION("(F7*C7)/100*GOOGLEFINANCE (""Currency:USDRON"")"),1.54811379358349)</f>
        <v>1.5481137935834901</v>
      </c>
      <c r="L7" s="467">
        <f ca="1">IFERROR(__xludf.DUMMYFUNCTION("(((H7/GOOGLEFINANCE (""Currency:USDRON""))/D7)*C7)/100*GOOGLEFINANCE (""Currency:USDRON"")"),0.499107598164201)</f>
        <v>0.49910759816420103</v>
      </c>
      <c r="M7" s="468">
        <f t="shared" ca="1" si="2"/>
        <v>0.32239722960473965</v>
      </c>
      <c r="N7" s="469" t="e">
        <f>Divident_all!#REF!</f>
        <v>#REF!</v>
      </c>
      <c r="O7" s="469" t="e">
        <f>Divident_all!#REF!</f>
        <v>#REF!</v>
      </c>
      <c r="P7" s="470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459"/>
      <c r="B8" s="290" t="e">
        <f>Divident_all!#REF!</f>
        <v>#REF!</v>
      </c>
      <c r="C8" s="290" t="e">
        <f>Divident_all!#REF!</f>
        <v>#REF!</v>
      </c>
      <c r="D8" s="291" t="e">
        <f>Divident_all!#REF!</f>
        <v>#REF!</v>
      </c>
      <c r="E8" s="292">
        <f ca="1">IFERROR(__xludf.DUMMYFUNCTION("(((H8/GOOGLEFINANCE (""Currency:USDRON""))/D8)+F8)"),0.477030278978762)</f>
        <v>0.47703027897876199</v>
      </c>
      <c r="F8" s="290" t="e">
        <f>Divident_all!#REF!</f>
        <v>#REF!</v>
      </c>
      <c r="G8" s="291">
        <f ca="1">IFERROR(__xludf.DUMMYFUNCTION("H8/GOOGLEFINANCE (""Currency:USDRON"")"),6.67541888253487)</f>
        <v>6.6754188825348697</v>
      </c>
      <c r="H8" s="293">
        <v>30</v>
      </c>
      <c r="I8" s="294" t="e">
        <f t="shared" si="4"/>
        <v>#REF!</v>
      </c>
      <c r="J8" s="291" t="e">
        <f t="shared" ca="1" si="3"/>
        <v>#REF!</v>
      </c>
      <c r="K8" s="295">
        <f ca="1">IFERROR(__xludf.DUMMYFUNCTION("(F8*C8)/100*GOOGLEFINANCE (""Currency:USDRON"")"),1.25407914429199)</f>
        <v>1.2540791442919901</v>
      </c>
      <c r="L8" s="296">
        <f ca="1">IFERROR(__xludf.DUMMYFUNCTION("(((H8/GOOGLEFINANCE (""Currency:USDRON""))/D8)*C8)/100*GOOGLEFINANCE (""Currency:USDRON"")"),0.439540059347181)</f>
        <v>0.43954005934718099</v>
      </c>
      <c r="M8" s="297">
        <f t="shared" ca="1" si="2"/>
        <v>0.35048829361988171</v>
      </c>
      <c r="N8" s="298" t="e">
        <f>Divident_all!#REF!</f>
        <v>#REF!</v>
      </c>
      <c r="O8" s="298" t="e">
        <f>Divident_all!#REF!</f>
        <v>#REF!</v>
      </c>
      <c r="P8" s="29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459"/>
      <c r="B9" s="471" t="e">
        <f>Divident_all!#REF!</f>
        <v>#REF!</v>
      </c>
      <c r="C9" s="471" t="e">
        <f>Divident_all!#REF!</f>
        <v>#REF!</v>
      </c>
      <c r="D9" s="472" t="e">
        <f>Divident_all!#REF!</f>
        <v>#REF!</v>
      </c>
      <c r="E9" s="473">
        <f ca="1">IFERROR(__xludf.DUMMYFUNCTION("(((H9/GOOGLEFINANCE (""Currency:USDRON""))/D9)+F9)"),1.35955924548594)</f>
        <v>1.35955924548594</v>
      </c>
      <c r="F9" s="471" t="e">
        <f>Divident_all!#REF!</f>
        <v>#REF!</v>
      </c>
      <c r="G9" s="472">
        <f ca="1">IFERROR(__xludf.DUMMYFUNCTION("H9/GOOGLEFINANCE (""Currency:USDRON"")"),6.67541888253487)</f>
        <v>6.6754188825348697</v>
      </c>
      <c r="H9" s="464">
        <v>30</v>
      </c>
      <c r="I9" s="474" t="e">
        <f t="shared" si="4"/>
        <v>#REF!</v>
      </c>
      <c r="J9" s="472" t="e">
        <f t="shared" ca="1" si="3"/>
        <v>#REF!</v>
      </c>
      <c r="K9" s="475">
        <f ca="1">IFERROR(__xludf.DUMMYFUNCTION("(E9*C9)/100*GOOGLEFINANCE (""Currency:usdRON"")"),1.6955236694259)</f>
        <v>1.6955236694258999</v>
      </c>
      <c r="L9" s="476">
        <f ca="1">IFERROR(__xludf.DUMMYFUNCTION("(((H9/GOOGLEFINANCE (""Currency:usdRON""))/D9)*C9)/100*GOOGLEFINANCE (""Currency:usdRON"")"),0.417711991971901)</f>
        <v>0.41771199197190101</v>
      </c>
      <c r="M9" s="468">
        <f t="shared" ca="1" si="2"/>
        <v>0.24636164006683389</v>
      </c>
      <c r="N9" s="477" t="e">
        <f>Divident_all!#REF!</f>
        <v>#REF!</v>
      </c>
      <c r="O9" s="477" t="e">
        <f>Divident_all!#REF!</f>
        <v>#REF!</v>
      </c>
      <c r="P9" s="478" t="e">
        <f>Divident_all!#REF!</f>
        <v>#REF!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459"/>
      <c r="B10" s="269" t="e">
        <f>Divident_all!#REF!</f>
        <v>#REF!</v>
      </c>
      <c r="C10" s="269" t="e">
        <f>Divident_all!#REF!</f>
        <v>#REF!</v>
      </c>
      <c r="D10" s="270" t="e">
        <f>Divident_all!#REF!</f>
        <v>#REF!</v>
      </c>
      <c r="E10" s="271">
        <f ca="1">IFERROR(__xludf.DUMMYFUNCTION("(((H10/GOOGLEFINANCE (""Currency:USDRON""))/D10)+F10)"),0.716637989246236)</f>
        <v>0.71663798924623601</v>
      </c>
      <c r="F10" s="269" t="e">
        <f>Divident_all!#REF!</f>
        <v>#REF!</v>
      </c>
      <c r="G10" s="270">
        <f ca="1">IFERROR(__xludf.DUMMYFUNCTION("H10/GOOGLEFINANCE (""Currency:USDRON"")"),6.67541888253487)</f>
        <v>6.6754188825348697</v>
      </c>
      <c r="H10" s="272">
        <v>30</v>
      </c>
      <c r="I10" s="273" t="e">
        <f>D10/(C10)</f>
        <v>#REF!</v>
      </c>
      <c r="J10" s="270" t="e">
        <f t="shared" ca="1" si="3"/>
        <v>#REF!</v>
      </c>
      <c r="K10" s="319">
        <f ca="1">IFERROR(__xludf.DUMMYFUNCTION("(F10*C10)/100*GOOGLEFINANCE (""Currency:USDRON"")"),1.383483293335)</f>
        <v>1.3834832933350001</v>
      </c>
      <c r="L10" s="275">
        <f ca="1">IFERROR(__xludf.DUMMYFUNCTION("(((H10/GOOGLEFINANCE (""Currency:USDRON""))/D10)*C10)/100*GOOGLEFINANCE (""Currency:USDRON"")"),0.38787023977433)</f>
        <v>0.38787023977432999</v>
      </c>
      <c r="M10" s="276">
        <f t="shared" ca="1" si="2"/>
        <v>0.28035773300835237</v>
      </c>
      <c r="N10" s="277" t="e">
        <f>Divident_all!#REF!</f>
        <v>#REF!</v>
      </c>
      <c r="O10" s="277" t="e">
        <f>Divident_all!#REF!</f>
        <v>#REF!</v>
      </c>
      <c r="P10" s="278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459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(""Currency:USDRON""))/D11)+F11)"),0.877395274683805)</f>
        <v>0.87739527468380496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>D11/(C11*3)</f>
        <v>#REF!</v>
      </c>
      <c r="J11" s="270" t="e">
        <f t="shared" ca="1" si="3"/>
        <v>#REF!</v>
      </c>
      <c r="K11" s="319">
        <f ca="1">IFERROR(__xludf.DUMMYFUNCTION("(F11*C11)/100*GOOGLEFINANCE (""Currency:USDRON"")"),0.879606554033999)</f>
        <v>0.87960655403399901</v>
      </c>
      <c r="L11" s="275">
        <f ca="1">IFERROR(__xludf.DUMMYFUNCTION("(((H11/GOOGLEFINANCE (""Currency:USDRON""))/D11)*C11)/100*GOOGLEFINANCE (""Currency:USDRON"")"),0.125884482474905)</f>
        <v>0.125884482474905</v>
      </c>
      <c r="M11" s="276">
        <f t="shared" ca="1" si="2"/>
        <v>0.14311453444449806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234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459"/>
      <c r="B12" s="380" t="e">
        <f>Divident_all!#REF!</f>
        <v>#REF!</v>
      </c>
      <c r="C12" s="380" t="e">
        <f>Divident_all!#REF!</f>
        <v>#REF!</v>
      </c>
      <c r="D12" s="381" t="e">
        <f>Divident_all!#REF!</f>
        <v>#REF!</v>
      </c>
      <c r="E12" s="382">
        <f ca="1">IFERROR(__xludf.DUMMYFUNCTION("(((H12/GOOGLEFINANCE (""Currency:USDRON""))/D12)+F12)"),0.288478087872292)</f>
        <v>0.28847808787229201</v>
      </c>
      <c r="F12" s="380" t="e">
        <f>Divident_all!#REF!</f>
        <v>#REF!</v>
      </c>
      <c r="G12" s="381">
        <f ca="1">IFERROR(__xludf.DUMMYFUNCTION("H12/GOOGLEFINANCE (""Currency:USDRON"")"),6.67541888253487)</f>
        <v>6.6754188825348697</v>
      </c>
      <c r="H12" s="94">
        <v>30</v>
      </c>
      <c r="I12" s="383" t="e">
        <f t="shared" ref="I12:I26" si="5">D12/C12</f>
        <v>#REF!</v>
      </c>
      <c r="J12" s="381" t="e">
        <f t="shared" ca="1" si="3"/>
        <v>#REF!</v>
      </c>
      <c r="K12" s="384">
        <f ca="1">IFERROR(__xludf.DUMMYFUNCTION("(F12*C12)/100*GOOGLEFINANCE (""Currency:USDRON"")"),0.64716618552625)</f>
        <v>0.64716618552625005</v>
      </c>
      <c r="L12" s="385">
        <f ca="1">IFERROR(__xludf.DUMMYFUNCTION("(((H12/GOOGLEFINANCE (""Currency:USDRON""))/D12)*C12)/100*GOOGLEFINANCE (""Currency:USDRON"")"),0.308965228320067)</f>
        <v>0.30896522832006701</v>
      </c>
      <c r="M12" s="479">
        <f t="shared" ca="1" si="2"/>
        <v>0.47741250273888869</v>
      </c>
      <c r="N12" s="387" t="e">
        <f>Divident_all!#REF!</f>
        <v>#REF!</v>
      </c>
      <c r="O12" s="387" t="e">
        <f>Divident_all!#REF!</f>
        <v>#REF!</v>
      </c>
      <c r="P12" s="388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459"/>
      <c r="B13" s="380" t="e">
        <f>Divident_all!#REF!</f>
        <v>#REF!</v>
      </c>
      <c r="C13" s="380" t="e">
        <f>Divident_all!#REF!</f>
        <v>#REF!</v>
      </c>
      <c r="D13" s="381" t="e">
        <f>Divident_all!#REF!</f>
        <v>#REF!</v>
      </c>
      <c r="E13" s="382">
        <f ca="1">IFERROR(__xludf.DUMMYFUNCTION("(((H13/GOOGLEFINANCE (""Currency:USDRON""))/D13)+F13)"),0.686600253613918)</f>
        <v>0.68660025361391797</v>
      </c>
      <c r="F13" s="380" t="e">
        <f>Divident_all!#REF!</f>
        <v>#REF!</v>
      </c>
      <c r="G13" s="381">
        <f ca="1">IFERROR(__xludf.DUMMYFUNCTION("H13/GOOGLEFINANCE (""Currency:USDRON"")"),6.67541888253487)</f>
        <v>6.6754188825348697</v>
      </c>
      <c r="H13" s="94">
        <v>30</v>
      </c>
      <c r="I13" s="383" t="e">
        <f t="shared" si="5"/>
        <v>#REF!</v>
      </c>
      <c r="J13" s="381" t="e">
        <f t="shared" ca="1" si="3"/>
        <v>#REF!</v>
      </c>
      <c r="K13" s="384">
        <f ca="1">IFERROR(__xludf.DUMMYFUNCTION("(F13*C13)/100*GOOGLEFINANCE (""Currency:USDRON"")"),1.18729486335849)</f>
        <v>1.1872948633584901</v>
      </c>
      <c r="L13" s="385">
        <f ca="1">IFERROR(__xludf.DUMMYFUNCTION("(((H13/GOOGLEFINANCE (""Currency:USDRON""))/D13)*C13)/100*GOOGLEFINANCE (""Currency:USDRON"")"),0.309245483528161)</f>
        <v>0.309245483528161</v>
      </c>
      <c r="M13" s="479">
        <f t="shared" ca="1" si="2"/>
        <v>0.2604622432656713</v>
      </c>
      <c r="N13" s="387" t="e">
        <f>Divident_all!#REF!</f>
        <v>#REF!</v>
      </c>
      <c r="O13" s="387" t="e">
        <f>Divident_all!#REF!</f>
        <v>#REF!</v>
      </c>
      <c r="P13" s="38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459"/>
      <c r="B14" s="480" t="e">
        <f>Divident_all!#REF!</f>
        <v>#REF!</v>
      </c>
      <c r="C14" s="480" t="e">
        <f>Divident_all!#REF!</f>
        <v>#REF!</v>
      </c>
      <c r="D14" s="481" t="e">
        <f>Divident_all!#REF!</f>
        <v>#REF!</v>
      </c>
      <c r="E14" s="482">
        <f ca="1">IFERROR(__xludf.DUMMYFUNCTION("(((H14/GOOGLEFINANCE (""Currency:USDRON""))/D14)+F14)"),0.156922801273464)</f>
        <v>0.156922801273464</v>
      </c>
      <c r="F14" s="480" t="e">
        <f>Divident_all!#REF!</f>
        <v>#REF!</v>
      </c>
      <c r="G14" s="481">
        <f ca="1">IFERROR(__xludf.DUMMYFUNCTION("H14/GOOGLEFINANCE (""Currency:USDRON"")"),5.56284906877906)</f>
        <v>5.5628490687790597</v>
      </c>
      <c r="H14" s="400">
        <v>25</v>
      </c>
      <c r="I14" s="483" t="e">
        <f t="shared" si="5"/>
        <v>#REF!</v>
      </c>
      <c r="J14" s="481" t="e">
        <f t="shared" ca="1" si="3"/>
        <v>#REF!</v>
      </c>
      <c r="K14" s="484">
        <f ca="1">IFERROR(__xludf.DUMMYFUNCTION("(F14*C14)/100*GOOGLEFINANCE (""Currency:USDRON"")"),0.814761041322799)</f>
        <v>0.81476104132279903</v>
      </c>
      <c r="L14" s="485">
        <f ca="1">IFERROR(__xludf.DUMMYFUNCTION("(((H14/GOOGLEFINANCE (""Currency:USDRON""))/D14)*C14)/100*GOOGLEFINANCE (""Currency:USDRON"")"),0.228974565257751)</f>
        <v>0.22897456525775101</v>
      </c>
      <c r="M14" s="404">
        <f t="shared" ca="1" si="2"/>
        <v>0.28103278586565839</v>
      </c>
      <c r="N14" s="486" t="e">
        <f>Divident_all!#REF!</f>
        <v>#REF!</v>
      </c>
      <c r="O14" s="486" t="e">
        <f>Divident_all!#REF!</f>
        <v>#REF!</v>
      </c>
      <c r="P14" s="487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459"/>
      <c r="B15" s="290" t="e">
        <f>Divident_all!#REF!</f>
        <v>#REF!</v>
      </c>
      <c r="C15" s="290" t="e">
        <f>Divident_all!#REF!</f>
        <v>#REF!</v>
      </c>
      <c r="D15" s="291" t="e">
        <f>Divident_all!#REF!</f>
        <v>#REF!</v>
      </c>
      <c r="E15" s="292">
        <f ca="1">IFERROR(__xludf.DUMMYFUNCTION("(((H15/GOOGLEFINANCE (""Currency:USDRON""))/D15)+F15)"),0.522120274243415)</f>
        <v>0.52212027424341501</v>
      </c>
      <c r="F15" s="290" t="e">
        <f>Divident_all!#REF!</f>
        <v>#REF!</v>
      </c>
      <c r="G15" s="291">
        <f ca="1">IFERROR(__xludf.DUMMYFUNCTION("H15/GOOGLEFINANCE (""Currency:USDRON"")"),5.56284906877906)</f>
        <v>5.5628490687790597</v>
      </c>
      <c r="H15" s="293">
        <v>25</v>
      </c>
      <c r="I15" s="294" t="e">
        <f t="shared" si="5"/>
        <v>#REF!</v>
      </c>
      <c r="J15" s="291" t="e">
        <f t="shared" ca="1" si="3"/>
        <v>#REF!</v>
      </c>
      <c r="K15" s="295">
        <f ca="1">IFERROR(__xludf.DUMMYFUNCTION("(F15*C15)/100*GOOGLEFINANCE (""Currency:USDRON"")"),0.551178130502999)</f>
        <v>0.55117813050299902</v>
      </c>
      <c r="L15" s="296">
        <f ca="1">IFERROR(__xludf.DUMMYFUNCTION("(((H15/GOOGLEFINANCE (""Currency:USDRON""))/D15)*C15)/100*GOOGLEFINANCE (""Currency:USDRON"")"),0.223153908574519)</f>
        <v>0.223153908574519</v>
      </c>
      <c r="M15" s="297">
        <f t="shared" ca="1" si="2"/>
        <v>0.40486713137705815</v>
      </c>
      <c r="N15" s="298" t="e">
        <f>Divident_all!#REF!</f>
        <v>#REF!</v>
      </c>
      <c r="O15" s="298" t="e">
        <f>Divident_all!#REF!</f>
        <v>#REF!</v>
      </c>
      <c r="P15" s="299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459"/>
      <c r="B16" s="280" t="e">
        <f>Divident_all!#REF!</f>
        <v>#REF!</v>
      </c>
      <c r="C16" s="280" t="e">
        <f>Divident_all!#REF!</f>
        <v>#REF!</v>
      </c>
      <c r="D16" s="281" t="e">
        <f>Divident_all!#REF!</f>
        <v>#REF!</v>
      </c>
      <c r="E16" s="282">
        <f ca="1">IFERROR(__xludf.DUMMYFUNCTION("(((H16/GOOGLEFINANCE (""Currency:USDRON""))/D16)+F16)"),0.0289121897275751)</f>
        <v>2.8912189727575099E-2</v>
      </c>
      <c r="F16" s="280" t="e">
        <f>Divident_all!#REF!</f>
        <v>#REF!</v>
      </c>
      <c r="G16" s="281">
        <f ca="1">IFERROR(__xludf.DUMMYFUNCTION("H16/GOOGLEFINANCE (""Currency:USDRON"")"),5.56284906877906)</f>
        <v>5.5628490687790597</v>
      </c>
      <c r="H16" s="283">
        <v>25</v>
      </c>
      <c r="I16" s="284" t="e">
        <f t="shared" si="5"/>
        <v>#REF!</v>
      </c>
      <c r="J16" s="281" t="e">
        <f t="shared" ca="1" si="3"/>
        <v>#REF!</v>
      </c>
      <c r="K16" s="285">
        <f ca="1">IFERROR(__xludf.DUMMYFUNCTION("(F16*C16)/100*GOOGLEFINANCE (""Currency:USDRON"")"),0.71352735818)</f>
        <v>0.71352735818000002</v>
      </c>
      <c r="L16" s="286">
        <f ca="1">IFERROR(__xludf.DUMMYFUNCTION("(((H16/GOOGLEFINANCE (""Currency:USDRON""))/D16)*C16)/100*GOOGLEFINANCE (""Currency:USDRON"")"),0.196012544802867)</f>
        <v>0.19601254480286701</v>
      </c>
      <c r="M16" s="287">
        <f t="shared" ca="1" si="2"/>
        <v>0.27470922110518337</v>
      </c>
      <c r="N16" s="288" t="e">
        <f>Divident_all!#REF!</f>
        <v>#REF!</v>
      </c>
      <c r="O16" s="288" t="e">
        <f>Divident_all!#REF!</f>
        <v>#REF!</v>
      </c>
      <c r="P16" s="289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459"/>
      <c r="B17" s="328" t="e">
        <f>Divident_all!#REF!</f>
        <v>#REF!</v>
      </c>
      <c r="C17" s="328" t="e">
        <f>Divident_all!#REF!</f>
        <v>#REF!</v>
      </c>
      <c r="D17" s="329" t="e">
        <f>Divident_all!#REF!</f>
        <v>#REF!</v>
      </c>
      <c r="E17" s="330">
        <f ca="1">IFERROR(__xludf.DUMMYFUNCTION("(((H17/GOOGLEFINANCE (""Currency:USDRON""))/D17)+F17)"),0.17855878584862)</f>
        <v>0.17855878584862001</v>
      </c>
      <c r="F17" s="328" t="e">
        <f>Divident_all!#REF!</f>
        <v>#REF!</v>
      </c>
      <c r="G17" s="329">
        <f ca="1">IFERROR(__xludf.DUMMYFUNCTION("H17/GOOGLEFINANCE (""Currency:USDRON"")"),5.56284906877906)</f>
        <v>5.5628490687790597</v>
      </c>
      <c r="H17" s="331">
        <v>25</v>
      </c>
      <c r="I17" s="332" t="e">
        <f t="shared" si="5"/>
        <v>#REF!</v>
      </c>
      <c r="J17" s="329" t="e">
        <f t="shared" ca="1" si="3"/>
        <v>#REF!</v>
      </c>
      <c r="K17" s="333">
        <f ca="1">IFERROR(__xludf.DUMMYFUNCTION("(F17*C17)/100*GOOGLEFINANCE (""Currency:USDRON"")"),0.622254883639999)</f>
        <v>0.62225488363999903</v>
      </c>
      <c r="L17" s="334">
        <f ca="1">IFERROR(__xludf.DUMMYFUNCTION("(((H17/GOOGLEFINANCE (""Currency:USDRON""))/D17)*C17)/100*GOOGLEFINANCE (""Currency:USDRON"")"),0.180206155842283)</f>
        <v>0.180206155842283</v>
      </c>
      <c r="M17" s="335">
        <f t="shared" ca="1" si="2"/>
        <v>0.28960183452178406</v>
      </c>
      <c r="N17" s="336" t="e">
        <f>Divident_all!#REF!</f>
        <v>#REF!</v>
      </c>
      <c r="O17" s="336" t="e">
        <f>Divident_all!#REF!</f>
        <v>#REF!</v>
      </c>
      <c r="P17" s="337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459"/>
      <c r="B18" s="269" t="e">
        <f>Divident_all!#REF!</f>
        <v>#REF!</v>
      </c>
      <c r="C18" s="269" t="e">
        <f>Divident_all!#REF!</f>
        <v>#REF!</v>
      </c>
      <c r="D18" s="270" t="e">
        <f>Divident_all!#REF!</f>
        <v>#REF!</v>
      </c>
      <c r="E18" s="271">
        <f ca="1">IFERROR(__xludf.DUMMYFUNCTION("(((H18/GOOGLEFINANCE (""Currency:USDRON""))/D18)+F18)"),0.0734009552843494)</f>
        <v>7.3400955284349395E-2</v>
      </c>
      <c r="F18" s="269" t="e">
        <f>Divident_all!#REF!</f>
        <v>#REF!</v>
      </c>
      <c r="G18" s="270">
        <f ca="1">IFERROR(__xludf.DUMMYFUNCTION("H18/GOOGLEFINANCE (""Currency:usdRON"")"),5.56284906877906)</f>
        <v>5.5628490687790597</v>
      </c>
      <c r="H18" s="272">
        <v>25</v>
      </c>
      <c r="I18" s="273" t="e">
        <f t="shared" si="5"/>
        <v>#REF!</v>
      </c>
      <c r="J18" s="270" t="e">
        <f t="shared" ca="1" si="3"/>
        <v>#REF!</v>
      </c>
      <c r="K18" s="319">
        <f ca="1">IFERROR(__xludf.DUMMYFUNCTION("(F18*C18)/100*GOOGLEFINANCE (""Currency:usdRON"")"),0.326093154347999)</f>
        <v>0.32609315434799901</v>
      </c>
      <c r="L18" s="275">
        <f ca="1">IFERROR(__xludf.DUMMYFUNCTION("(((H18/GOOGLEFINANCE (""Currency:usdRON""))/D18)*C18)/100*GOOGLEFINANCE (""Currency:usdRON"")"),0.188505969355696)</f>
        <v>0.188505969355696</v>
      </c>
      <c r="M18" s="488">
        <f t="shared" ca="1" si="2"/>
        <v>0.57807398543094479</v>
      </c>
      <c r="N18" s="277" t="e">
        <f>Divident_all!#REF!</f>
        <v>#REF!</v>
      </c>
      <c r="O18" s="277" t="e">
        <f>Divident_all!#REF!</f>
        <v>#REF!</v>
      </c>
      <c r="P18" s="278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459"/>
      <c r="B19" s="320" t="e">
        <f>Divident_all!#REF!</f>
        <v>#REF!</v>
      </c>
      <c r="C19" s="320" t="e">
        <f>Divident_all!#REF!</f>
        <v>#REF!</v>
      </c>
      <c r="D19" s="321" t="e">
        <f>Divident_all!#REF!</f>
        <v>#REF!</v>
      </c>
      <c r="E19" s="322">
        <f ca="1">IFERROR(__xludf.DUMMYFUNCTION("(((H19/GOOGLEFINANCE (""Currency:USDRON""))/D19)+F19)"),0.270869915266877)</f>
        <v>0.27086991526687698</v>
      </c>
      <c r="F19" s="320" t="e">
        <f>Divident_all!#REF!</f>
        <v>#REF!</v>
      </c>
      <c r="G19" s="321">
        <f ca="1">IFERROR(__xludf.DUMMYFUNCTION("H19/GOOGLEFINANCE (""Currency:USDRON"")"),4.45027925502325)</f>
        <v>4.4502792550232497</v>
      </c>
      <c r="H19" s="293">
        <v>20</v>
      </c>
      <c r="I19" s="323" t="e">
        <f t="shared" si="5"/>
        <v>#REF!</v>
      </c>
      <c r="J19" s="321" t="e">
        <f t="shared" ca="1" si="3"/>
        <v>#REF!</v>
      </c>
      <c r="K19" s="324">
        <f ca="1">IFERROR(__xludf.DUMMYFUNCTION("(F19*C19)/100*GOOGLEFINANCE (""Currency:USDRON"")"),0.457310987327999)</f>
        <v>0.45731098732799902</v>
      </c>
      <c r="L19" s="325">
        <f ca="1">IFERROR(__xludf.DUMMYFUNCTION("(((H19/GOOGLEFINANCE (""Currency:USDRON""))/D19)*C19)/100*GOOGLEFINANCE (""Currency:USDRON"")"),0.127000926048419)</f>
        <v>0.12700092604841901</v>
      </c>
      <c r="M19" s="297">
        <f t="shared" ca="1" si="2"/>
        <v>0.27771238734163545</v>
      </c>
      <c r="N19" s="326" t="e">
        <f>Divident_all!#REF!</f>
        <v>#REF!</v>
      </c>
      <c r="O19" s="326" t="e">
        <f>Divident_all!#REF!</f>
        <v>#REF!</v>
      </c>
      <c r="P19" s="327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459"/>
      <c r="B20" s="290" t="e">
        <f>Divident_all!#REF!</f>
        <v>#REF!</v>
      </c>
      <c r="C20" s="290" t="e">
        <f>Divident_all!#REF!</f>
        <v>#REF!</v>
      </c>
      <c r="D20" s="291" t="e">
        <f>Divident_all!#REF!</f>
        <v>#REF!</v>
      </c>
      <c r="E20" s="292">
        <f ca="1">IFERROR(__xludf.DUMMYFUNCTION("(((H20/GOOGLEFINANCE (""Currency:USDRON""))/D20)+F20)"),0.174932497210441)</f>
        <v>0.17493249721044099</v>
      </c>
      <c r="F20" s="290" t="e">
        <f>Divident_all!#REF!</f>
        <v>#REF!</v>
      </c>
      <c r="G20" s="291">
        <f ca="1">IFERROR(__xludf.DUMMYFUNCTION("H20/GOOGLEFINANCE (""Currency:USDRON"")"),4.45027925502325)</f>
        <v>4.4502792550232497</v>
      </c>
      <c r="H20" s="293">
        <v>20</v>
      </c>
      <c r="I20" s="294" t="e">
        <f t="shared" si="5"/>
        <v>#REF!</v>
      </c>
      <c r="J20" s="291" t="e">
        <f t="shared" ca="1" si="3"/>
        <v>#REF!</v>
      </c>
      <c r="K20" s="295">
        <f ca="1">IFERROR(__xludf.DUMMYFUNCTION("(F20*C20)/100*GOOGLEFINANCE (""Currency:USDRON"")"),0.251850802112)</f>
        <v>0.25185080211200001</v>
      </c>
      <c r="L20" s="296">
        <f ca="1">IFERROR(__xludf.DUMMYFUNCTION("(((H20/GOOGLEFINANCE (""Currency:USDRON""))/D20)*C20)/100*GOOGLEFINANCE (""Currency:USDRON"")"),0.133369624387588)</f>
        <v>0.13336962438758801</v>
      </c>
      <c r="M20" s="297">
        <f t="shared" ca="1" si="2"/>
        <v>0.52955806878183975</v>
      </c>
      <c r="N20" s="298" t="e">
        <f>Divident_all!#REF!</f>
        <v>#REF!</v>
      </c>
      <c r="O20" s="298" t="e">
        <f>Divident_all!#REF!</f>
        <v>#REF!</v>
      </c>
      <c r="P20" s="299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459"/>
      <c r="B21" s="290" t="e">
        <f>Divident_all!#REF!</f>
        <v>#REF!</v>
      </c>
      <c r="C21" s="290" t="e">
        <f>Divident_all!#REF!</f>
        <v>#REF!</v>
      </c>
      <c r="D21" s="291" t="e">
        <f>Divident_all!#REF!</f>
        <v>#REF!</v>
      </c>
      <c r="E21" s="292">
        <f ca="1">IFERROR(__xludf.DUMMYFUNCTION("(((H21/GOOGLEFINANCE (""Currency:USDRON""))/D21)+F21)"),0.142407136034883)</f>
        <v>0.142407136034883</v>
      </c>
      <c r="F21" s="290" t="e">
        <f>Divident_all!#REF!</f>
        <v>#REF!</v>
      </c>
      <c r="G21" s="291">
        <f ca="1">IFERROR(__xludf.DUMMYFUNCTION("H21/GOOGLEFINANCE (""Currency:USDRON"")"),3.33770944126743)</f>
        <v>3.33770944126743</v>
      </c>
      <c r="H21" s="293">
        <v>15</v>
      </c>
      <c r="I21" s="294" t="e">
        <f t="shared" si="5"/>
        <v>#REF!</v>
      </c>
      <c r="J21" s="291" t="e">
        <f t="shared" ca="1" si="3"/>
        <v>#REF!</v>
      </c>
      <c r="K21" s="295">
        <f ca="1">IFERROR(__xludf.DUMMYFUNCTION("(F21*C21)/100*GOOGLEFINANCE (""Currency:USDRON"")"),0.508593369920596)</f>
        <v>0.50859336992059601</v>
      </c>
      <c r="L21" s="296">
        <f ca="1">IFERROR(__xludf.DUMMYFUNCTION("(((H21/GOOGLEFINANCE (""Currency:USDRON""))/D21)*C21)/100*GOOGLEFINANCE (""Currency:USDRON"")"),0.0934470198675496)</f>
        <v>9.3447019867549594E-2</v>
      </c>
      <c r="M21" s="297">
        <f t="shared" ca="1" si="2"/>
        <v>0.18373621323875886</v>
      </c>
      <c r="N21" s="298" t="e">
        <f>Divident_all!#REF!</f>
        <v>#REF!</v>
      </c>
      <c r="O21" s="298" t="e">
        <f>Divident_all!#REF!</f>
        <v>#REF!</v>
      </c>
      <c r="P21" s="299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459"/>
      <c r="B22" s="489" t="e">
        <f>Divident_all!#REF!</f>
        <v>#REF!</v>
      </c>
      <c r="C22" s="489" t="e">
        <f>Divident_all!#REF!</f>
        <v>#REF!</v>
      </c>
      <c r="D22" s="490" t="e">
        <f>Divident_all!#REF!</f>
        <v>#REF!</v>
      </c>
      <c r="E22" s="491">
        <f ca="1">IFERROR(__xludf.DUMMYFUNCTION("(((H22/GOOGLEFINANCE (""Currency:USDRON""))/D22)+F22)"),0.098913249908345)</f>
        <v>9.8913249908345005E-2</v>
      </c>
      <c r="F22" s="489" t="e">
        <f>Divident_all!#REF!</f>
        <v>#REF!</v>
      </c>
      <c r="G22" s="490">
        <f ca="1">IFERROR(__xludf.DUMMYFUNCTION("H22/GOOGLEFINANCE (""Currency:USDRON"")"),3.33770944126743)</f>
        <v>3.33770944126743</v>
      </c>
      <c r="H22" s="492">
        <v>15</v>
      </c>
      <c r="I22" s="493" t="e">
        <f t="shared" si="5"/>
        <v>#REF!</v>
      </c>
      <c r="J22" s="490" t="e">
        <f t="shared" ca="1" si="3"/>
        <v>#REF!</v>
      </c>
      <c r="K22" s="494">
        <f ca="1">IFERROR(__xludf.DUMMYFUNCTION("(F22*C22)/100*GOOGLEFINANCE (""Currency:USDRON"")"),0.686204690762499)</f>
        <v>0.68620469076249901</v>
      </c>
      <c r="L22" s="495">
        <f ca="1">IFERROR(__xludf.DUMMYFUNCTION("(((H22/GOOGLEFINANCE (""Currency:USDRON""))/D22)*C22)/100*GOOGLEFINANCE (""Currency:USDRON"")"),0.0917158729604136)</f>
        <v>9.17158729604136E-2</v>
      </c>
      <c r="M22" s="496">
        <f t="shared" ca="1" si="2"/>
        <v>0.13365672691409392</v>
      </c>
      <c r="N22" s="497" t="e">
        <f>Divident_all!#REF!</f>
        <v>#REF!</v>
      </c>
      <c r="O22" s="497" t="e">
        <f>Divident_all!#REF!</f>
        <v>#REF!</v>
      </c>
      <c r="P22" s="498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459"/>
      <c r="B23" s="407" t="e">
        <f>Divident_all!#REF!</f>
        <v>#REF!</v>
      </c>
      <c r="C23" s="407" t="e">
        <f>Divident_all!#REF!</f>
        <v>#REF!</v>
      </c>
      <c r="D23" s="408" t="e">
        <f>Divident_all!#REF!</f>
        <v>#REF!</v>
      </c>
      <c r="E23" s="409">
        <f ca="1">IFERROR(__xludf.DUMMYFUNCTION("(((H23/GOOGLEFINANCE (""Currency:USDRON""))/D23)+F23)"),0.0787608076036164)</f>
        <v>7.8760807603616395E-2</v>
      </c>
      <c r="F23" s="407" t="e">
        <f>Divident_all!#REF!</f>
        <v>#REF!</v>
      </c>
      <c r="G23" s="408">
        <f ca="1">IFERROR(__xludf.DUMMYFUNCTION("H23/GOOGLEFINANCE (""Currency:USDRON"")"),3.33770944126743)</f>
        <v>3.33770944126743</v>
      </c>
      <c r="H23" s="410">
        <v>15</v>
      </c>
      <c r="I23" s="411" t="e">
        <f t="shared" si="5"/>
        <v>#REF!</v>
      </c>
      <c r="J23" s="408" t="e">
        <f t="shared" ca="1" si="3"/>
        <v>#REF!</v>
      </c>
      <c r="K23" s="412">
        <f ca="1">IFERROR(__xludf.DUMMYFUNCTION("(F23*C23)/100*GOOGLEFINANCE (""Currency:USDRON"")"),0.3802654671816)</f>
        <v>0.38026546718159998</v>
      </c>
      <c r="L23" s="413">
        <f ca="1">IFERROR(__xludf.DUMMYFUNCTION("(((H23/GOOGLEFINANCE (""Currency:USDRON""))/D23)*C23)/100*GOOGLEFINANCE (""Currency:USDRON"")"),0.086960340814265)</f>
        <v>8.6960340814265E-2</v>
      </c>
      <c r="M23" s="499">
        <f t="shared" ca="1" si="2"/>
        <v>0.22868324452069197</v>
      </c>
      <c r="N23" s="415" t="e">
        <f>Divident_all!#REF!</f>
        <v>#REF!</v>
      </c>
      <c r="O23" s="415" t="e">
        <f>Divident_all!#REF!</f>
        <v>#REF!</v>
      </c>
      <c r="P23" s="416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459"/>
      <c r="B24" s="407" t="e">
        <f>Divident_all!#REF!</f>
        <v>#REF!</v>
      </c>
      <c r="C24" s="407" t="e">
        <f>Divident_all!#REF!</f>
        <v>#REF!</v>
      </c>
      <c r="D24" s="408" t="e">
        <f>Divident_all!#REF!</f>
        <v>#REF!</v>
      </c>
      <c r="E24" s="409">
        <f ca="1">IFERROR(__xludf.DUMMYFUNCTION("(((H24/GOOGLEFINANCE (""Currency:USDRON""))/D24)+F24)"),0.0735709054420039)</f>
        <v>7.3570905442003898E-2</v>
      </c>
      <c r="F24" s="407" t="e">
        <f>Divident_all!#REF!</f>
        <v>#REF!</v>
      </c>
      <c r="G24" s="408">
        <f ca="1">IFERROR(__xludf.DUMMYFUNCTION("H24/GOOGLEFINANCE (""Currency:USDRON"")"),3.33770944126743)</f>
        <v>3.33770944126743</v>
      </c>
      <c r="H24" s="410">
        <v>15</v>
      </c>
      <c r="I24" s="411" t="e">
        <f t="shared" si="5"/>
        <v>#REF!</v>
      </c>
      <c r="J24" s="408" t="e">
        <f t="shared" ca="1" si="3"/>
        <v>#REF!</v>
      </c>
      <c r="K24" s="412">
        <f ca="1">IFERROR(__xludf.DUMMYFUNCTION("(F24*C24)/100*GOOGLEFINANCE (""Currency:USDRON"")"),0.316289904371999)</f>
        <v>0.316289904371999</v>
      </c>
      <c r="L24" s="413">
        <f ca="1">IFERROR(__xludf.DUMMYFUNCTION("(((H24/GOOGLEFINANCE (""Currency:USDRON""))/D24)*C24)/100*GOOGLEFINANCE (""Currency:USDRON"")"),0.0804721030042918)</f>
        <v>8.0472103004291806E-2</v>
      </c>
      <c r="M24" s="499">
        <f t="shared" ca="1" si="2"/>
        <v>0.25442513937987066</v>
      </c>
      <c r="N24" s="415" t="e">
        <f>Divident_all!#REF!</f>
        <v>#REF!</v>
      </c>
      <c r="O24" s="415" t="e">
        <f>Divident_all!#REF!</f>
        <v>#REF!</v>
      </c>
      <c r="P24" s="416" t="e">
        <f>Divident_all!#REF!</f>
        <v>#REF!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459"/>
      <c r="B25" s="338" t="e">
        <f>Divident_all!#REF!</f>
        <v>#REF!</v>
      </c>
      <c r="C25" s="338" t="e">
        <f>Divident_all!#REF!</f>
        <v>#REF!</v>
      </c>
      <c r="D25" s="339" t="e">
        <f>Divident_all!#REF!</f>
        <v>#REF!</v>
      </c>
      <c r="E25" s="340">
        <f ca="1">IFERROR(__xludf.DUMMYFUNCTION("(((H25/GOOGLEFINANCE (""Currency:USDRON""))/D25)+F25)"),0.175961277018222)</f>
        <v>0.17596127701822201</v>
      </c>
      <c r="F25" s="338" t="e">
        <f>Divident_all!#REF!</f>
        <v>#REF!</v>
      </c>
      <c r="G25" s="339">
        <f ca="1">IFERROR(__xludf.DUMMYFUNCTION("H25/GOOGLEFINANCE (""Currency:USDRON"")"),3.33770944126743)</f>
        <v>3.33770944126743</v>
      </c>
      <c r="H25" s="341">
        <v>15</v>
      </c>
      <c r="I25" s="342" t="e">
        <f t="shared" si="5"/>
        <v>#REF!</v>
      </c>
      <c r="J25" s="339" t="e">
        <f t="shared" ca="1" si="3"/>
        <v>#REF!</v>
      </c>
      <c r="K25" s="333">
        <f ca="1">IFERROR(__xludf.DUMMYFUNCTION("(F25*C25)/100*GOOGLEFINANCE (""Currency:USDRON"")"),0.419472413532899)</f>
        <v>0.41947241353289899</v>
      </c>
      <c r="L25" s="343">
        <f ca="1">IFERROR(__xludf.DUMMYFUNCTION("(((H25/GOOGLEFINANCE (""Currency:USDRON""))/D25)*C25)/100*GOOGLEFINANCE (""Currency:USDRON"")"),0.0787237587470842)</f>
        <v>7.8723758747084205E-2</v>
      </c>
      <c r="M25" s="335">
        <f t="shared" ca="1" si="2"/>
        <v>0.18767326815142266</v>
      </c>
      <c r="N25" s="344" t="e">
        <f>Divident_all!#REF!</f>
        <v>#REF!</v>
      </c>
      <c r="O25" s="344" t="e">
        <f>Divident_all!#REF!</f>
        <v>#REF!</v>
      </c>
      <c r="P25" s="345" t="e">
        <f>Divident_all!#REF!</f>
        <v>#REF!</v>
      </c>
      <c r="Q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  <row r="26" spans="1:33" ht="12.75">
      <c r="A26" s="459"/>
      <c r="B26" s="407" t="e">
        <f>Divident_all!#REF!</f>
        <v>#REF!</v>
      </c>
      <c r="C26" s="407" t="e">
        <f>Divident_all!#REF!</f>
        <v>#REF!</v>
      </c>
      <c r="D26" s="408" t="e">
        <f>Divident_all!#REF!</f>
        <v>#REF!</v>
      </c>
      <c r="E26" s="409">
        <f ca="1">IFERROR(__xludf.DUMMYFUNCTION("(((H26/GOOGLEFINANCE (""Currency:USDRON""))/D26)+F26)"),0.0359599975153096)</f>
        <v>3.5959997515309601E-2</v>
      </c>
      <c r="F26" s="407" t="e">
        <f>Divident_all!#REF!</f>
        <v>#REF!</v>
      </c>
      <c r="G26" s="408">
        <f ca="1">IFERROR(__xludf.DUMMYFUNCTION("H26/GOOGLEFINANCE (""Currency:USDRON"")"),2.22513962751162)</f>
        <v>2.22513962751162</v>
      </c>
      <c r="H26" s="410">
        <v>10</v>
      </c>
      <c r="I26" s="411" t="e">
        <f t="shared" si="5"/>
        <v>#REF!</v>
      </c>
      <c r="J26" s="408" t="e">
        <f t="shared" ca="1" si="3"/>
        <v>#REF!</v>
      </c>
      <c r="K26" s="500">
        <f ca="1">IFERROR(__xludf.DUMMYFUNCTION("(F26*C26)/100*GOOGLEFINANCE (""Currency:USDRON"")"),0.169774177462499)</f>
        <v>0.16977417746249901</v>
      </c>
      <c r="L26" s="413">
        <f ca="1">IFERROR(__xludf.DUMMYFUNCTION("(((H26/GOOGLEFINANCE (""Currency:USDRON""))/D26)*C26)/100*GOOGLEFINANCE (""Currency:USDRON"")"),0.0322356035794414)</f>
        <v>3.2235603579441399E-2</v>
      </c>
      <c r="M26" s="414">
        <f t="shared" ca="1" si="2"/>
        <v>0.18987341927521245</v>
      </c>
      <c r="N26" s="415" t="e">
        <f>Divident_all!#REF!</f>
        <v>#REF!</v>
      </c>
      <c r="O26" s="415" t="e">
        <f>Divident_all!#REF!</f>
        <v>#REF!</v>
      </c>
      <c r="P26" s="416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166"/>
      <c r="B27" s="365"/>
      <c r="C27" s="365"/>
      <c r="D27" s="366"/>
      <c r="E27" s="367"/>
      <c r="F27" s="365"/>
      <c r="G27" s="366"/>
      <c r="H27" s="365"/>
      <c r="I27" s="368"/>
      <c r="J27" s="366"/>
      <c r="K27" s="369"/>
      <c r="L27" s="369"/>
      <c r="M27" s="369"/>
      <c r="N27" s="370"/>
      <c r="O27" s="370"/>
      <c r="P27" s="371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G25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f>211+345</f>
        <v>556</v>
      </c>
      <c r="L2" s="264">
        <f ca="1">((L4*4)*100)/(500+K2)</f>
        <v>4.8725923252289984</v>
      </c>
      <c r="M2" s="12">
        <v>24</v>
      </c>
      <c r="N2" s="12"/>
      <c r="O2" s="12"/>
      <c r="P2" s="12"/>
    </row>
    <row r="3" spans="1:33" ht="15.75" customHeight="1">
      <c r="A3" s="265" t="s">
        <v>26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AVERAGE(C5:C23)</f>
        <v>#REF!</v>
      </c>
      <c r="D4" s="118" t="e">
        <f t="shared" si="0"/>
        <v>#REF!</v>
      </c>
      <c r="E4" s="267">
        <f t="shared" ca="1" si="0"/>
        <v>2.3592642616167203</v>
      </c>
      <c r="F4" s="116"/>
      <c r="G4" s="247">
        <f ca="1">SUM(G5:G23)</f>
        <v>240.15355760275389</v>
      </c>
      <c r="H4" s="116">
        <f>500+K2+M2-SUM(H5:H23)</f>
        <v>0</v>
      </c>
      <c r="I4" s="118"/>
      <c r="J4" s="118" t="e">
        <f t="shared" ref="J4:L4" ca="1" si="1">SUM(J5:J23)</f>
        <v>#REF!</v>
      </c>
      <c r="K4" s="123">
        <f t="shared" ca="1" si="1"/>
        <v>13.961484038027832</v>
      </c>
      <c r="L4" s="123">
        <f t="shared" ca="1" si="1"/>
        <v>12.863643738604555</v>
      </c>
      <c r="M4" s="117">
        <f t="shared" ref="M4:M23" ca="1" si="2">L4/K4</f>
        <v>0.9213665039881852</v>
      </c>
      <c r="N4" s="125"/>
      <c r="O4" s="125"/>
      <c r="P4" s="126"/>
    </row>
    <row r="5" spans="1:33" ht="12.75">
      <c r="A5" s="166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(""Currency:USDRON""))/D5)+F5)"),2.93253813494005)</f>
        <v>2.9325381349400499</v>
      </c>
      <c r="F5" s="269" t="e">
        <f>Divident_all!#REF!</f>
        <v>#REF!</v>
      </c>
      <c r="G5" s="270">
        <f ca="1">IFERROR(__xludf.DUMMYFUNCTION("H5/GOOGLEFINANCE (""Currency:USDRON"")"),15.5759773925813)</f>
        <v>15.575977392581301</v>
      </c>
      <c r="H5" s="272">
        <v>70</v>
      </c>
      <c r="I5" s="273" t="e">
        <f t="shared" ref="I5:I9" si="3">D5/C5</f>
        <v>#REF!</v>
      </c>
      <c r="J5" s="270" t="e">
        <f t="shared" ref="J5:J6" ca="1" si="4">((E5*C5)/100)</f>
        <v>#REF!</v>
      </c>
      <c r="K5" s="319">
        <f ca="1">IFERROR(__xludf.DUMMYFUNCTION("(F5*C5)/100*GOOGLEFINANCE (""Currency:USDRON"")"),2.55846955831999)</f>
        <v>2.5584695583199899</v>
      </c>
      <c r="L5" s="275">
        <f ca="1">IFERROR(__xludf.DUMMYFUNCTION("(((H5/GOOGLEFINANCE (""Currency:USDRON""))/D5)*C5)/100*GOOGLEFINANCE (""Currency:USDRON"")"),2.71317829457364)</f>
        <v>2.7131782945736398</v>
      </c>
      <c r="M5" s="488">
        <f t="shared" ca="1" si="2"/>
        <v>1.0604692503573265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166"/>
      <c r="B6" s="300" t="e">
        <f>Divident_all!#REF!</f>
        <v>#REF!</v>
      </c>
      <c r="C6" s="300" t="e">
        <f>Divident_all!#REF!</f>
        <v>#REF!</v>
      </c>
      <c r="D6" s="372" t="e">
        <f>Divident_all!#REF!</f>
        <v>#REF!</v>
      </c>
      <c r="E6" s="302">
        <f ca="1">IFERROR(__xludf.DUMMYFUNCTION("(((H6/GOOGLEFINANCE (""Currency:cadRON""))/D6)+F6)"),1.08705070008752)</f>
        <v>1.08705070008752</v>
      </c>
      <c r="F6" s="300" t="e">
        <f>Divident_all!#REF!</f>
        <v>#REF!</v>
      </c>
      <c r="G6" s="373">
        <f ca="1">IFERROR(__xludf.DUMMYFUNCTION("H6/GOOGLEFINANCE (""Currency:cadRON"")"),21.0563833515045)</f>
        <v>21.0563833515045</v>
      </c>
      <c r="H6" s="303">
        <v>70</v>
      </c>
      <c r="I6" s="304" t="e">
        <f t="shared" si="3"/>
        <v>#REF!</v>
      </c>
      <c r="J6" s="372" t="e">
        <f t="shared" ca="1" si="4"/>
        <v>#REF!</v>
      </c>
      <c r="K6" s="305">
        <f ca="1">IFERROR(__xludf.DUMMYFUNCTION("(F6*C6)/100*GOOGLEFINANCE (""Currency:cadRON"")"),1.65567368778498)</f>
        <v>1.65567368778498</v>
      </c>
      <c r="L6" s="306">
        <f ca="1">IFERROR(__xludf.DUMMYFUNCTION("(((H6/GOOGLEFINANCE (""Currency:cadRON""))/D6)*C6)/100*GOOGLEFINANCE (""Currency:cadRON"")"),1.55157342657342)</f>
        <v>1.55157342657342</v>
      </c>
      <c r="M6" s="307">
        <f t="shared" ca="1" si="2"/>
        <v>0.93712513402877773</v>
      </c>
      <c r="N6" s="308" t="e">
        <f>Divident_all!#REF!</f>
        <v>#REF!</v>
      </c>
      <c r="O6" s="308" t="e">
        <f>Divident_all!#REF!</f>
        <v>#REF!</v>
      </c>
      <c r="P6" s="309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338" t="e">
        <f>Divident_all!#REF!</f>
        <v>#REF!</v>
      </c>
      <c r="C7" s="338" t="e">
        <f>Divident_all!#REF!</f>
        <v>#REF!</v>
      </c>
      <c r="D7" s="501" t="e">
        <f>Divident_all!#REF!</f>
        <v>#REF!</v>
      </c>
      <c r="E7" s="340">
        <f ca="1">IFERROR(__xludf.DUMMYFUNCTION("(((H7/GOOGLEFINANCE (""Currency:gbpRON"")*100)/D7)+F7)"),15.5219384359836)</f>
        <v>15.5219384359836</v>
      </c>
      <c r="F7" s="338" t="e">
        <f>Divident_all!#REF!</f>
        <v>#REF!</v>
      </c>
      <c r="G7" s="376">
        <f ca="1">IFERROR(__xludf.DUMMYFUNCTION("H7/GOOGLEFINANCE (""Currency:gbpRON"")"),11.6424435151135)</f>
        <v>11.6424435151135</v>
      </c>
      <c r="H7" s="341">
        <v>65</v>
      </c>
      <c r="I7" s="342" t="e">
        <f t="shared" si="3"/>
        <v>#REF!</v>
      </c>
      <c r="J7" s="376" t="e">
        <f ca="1">((E7*C7)/100)/100</f>
        <v>#REF!</v>
      </c>
      <c r="K7" s="502">
        <f ca="1">IFERROR(__xludf.DUMMYFUNCTION("(E7*C7)/100/100*GOOGLEFINANCE (""Currency:gbpRON"")"),1.81984528742728)</f>
        <v>1.8198452874272799</v>
      </c>
      <c r="L7" s="343">
        <f ca="1">IFERROR(__xludf.DUMMYFUNCTION("(((H7/GOOGLEFINANCE (""Currency:gbpRON""))/D7)*C7)/100*GOOGLEFINANCE (""Currency:gbpRON"")"),0.992005813953488)</f>
        <v>0.99200581395348797</v>
      </c>
      <c r="M7" s="335">
        <f t="shared" ca="1" si="2"/>
        <v>0.54510447718107358</v>
      </c>
      <c r="N7" s="344" t="e">
        <f>Divident_all!#REF!</f>
        <v>#REF!</v>
      </c>
      <c r="O7" s="344" t="e">
        <f>Divident_all!#REF!</f>
        <v>#REF!</v>
      </c>
      <c r="P7" s="345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503" t="e">
        <f>Divident_all!#REF!</f>
        <v>#REF!</v>
      </c>
      <c r="C8" s="503" t="e">
        <f>Divident_all!#REF!</f>
        <v>#REF!</v>
      </c>
      <c r="D8" s="504" t="e">
        <f>Divident_all!#REF!</f>
        <v>#REF!</v>
      </c>
      <c r="E8" s="505">
        <f ca="1">IFERROR(__xludf.DUMMYFUNCTION("(((H8/GOOGLEFINANCE (""Currency:USDRON""))/D8)+F8)"),0.404523139173885)</f>
        <v>0.40452313917388499</v>
      </c>
      <c r="F8" s="503" t="e">
        <f>Divident_all!#REF!</f>
        <v>#REF!</v>
      </c>
      <c r="G8" s="504">
        <f ca="1">IFERROR(__xludf.DUMMYFUNCTION("H8/GOOGLEFINANCE (""Currency:USDRON"")"),14.4634075788255)</f>
        <v>14.4634075788255</v>
      </c>
      <c r="H8" s="162">
        <v>65</v>
      </c>
      <c r="I8" s="163" t="e">
        <f t="shared" si="3"/>
        <v>#REF!</v>
      </c>
      <c r="J8" s="504" t="e">
        <f ca="1">((E8*C8)/100)</f>
        <v>#REF!</v>
      </c>
      <c r="K8" s="506">
        <f ca="1">IFERROR(__xludf.DUMMYFUNCTION("(F8*C8)/100*GOOGLEFINANCE (""Currency:USDRON"")"),0.810081029394)</f>
        <v>0.81008102939399995</v>
      </c>
      <c r="L8" s="507">
        <f ca="1">IFERROR(__xludf.DUMMYFUNCTION("(((H8/GOOGLEFINANCE (""Currency:USDRON""))/D8)*C8)/100*GOOGLEFINANCE (""Currency:USDRON"")"),0.926077875578099)</f>
        <v>0.92607787557809895</v>
      </c>
      <c r="M8" s="307">
        <f t="shared" ca="1" si="2"/>
        <v>1.1431916585812079</v>
      </c>
      <c r="N8" s="508" t="e">
        <f>Divident_all!#REF!</f>
        <v>#REF!</v>
      </c>
      <c r="O8" s="508" t="e">
        <f>Divident_all!#REF!</f>
        <v>#REF!</v>
      </c>
      <c r="P8" s="50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00" t="e">
        <f>Divident_all!#REF!</f>
        <v>#REF!</v>
      </c>
      <c r="C9" s="300" t="e">
        <f>Divident_all!#REF!</f>
        <v>#REF!</v>
      </c>
      <c r="D9" s="510" t="e">
        <f>Divident_all!#REF!</f>
        <v>#REF!</v>
      </c>
      <c r="E9" s="302">
        <f ca="1">IFERROR(__xludf.DUMMYFUNCTION("(((H9/GOOGLEFINANCE (""Currency:gbpRON"")*100)/D9)+F9)"),20.5800846979289)</f>
        <v>20.5800846979289</v>
      </c>
      <c r="F9" s="300" t="e">
        <f>Divident_all!#REF!</f>
        <v>#REF!</v>
      </c>
      <c r="G9" s="379">
        <f ca="1">IFERROR(__xludf.DUMMYFUNCTION("H9/GOOGLEFINANCE (""Currency:gbpRON"")"),11.6424435151135)</f>
        <v>11.6424435151135</v>
      </c>
      <c r="H9" s="303">
        <v>65</v>
      </c>
      <c r="I9" s="304" t="e">
        <f t="shared" si="3"/>
        <v>#REF!</v>
      </c>
      <c r="J9" s="379" t="e">
        <f ca="1">((E9*C9)/100)/100</f>
        <v>#REF!</v>
      </c>
      <c r="K9" s="305">
        <f ca="1">IFERROR(__xludf.DUMMYFUNCTION("((F9*C9)/100*GOOGLEFINANCE (""Currency:gbpRON""))/100"),1.10467906444247)</f>
        <v>1.10467906444247</v>
      </c>
      <c r="L9" s="306">
        <f ca="1">IFERROR(__xludf.DUMMYFUNCTION("(((H9/GOOGLEFINANCE (""Currency:gbpRON""))/D9)*C9)/100*GOOGLEFINANCE (""Currency:gbpRON"")"),0.860094405323841)</f>
        <v>0.86009440532384096</v>
      </c>
      <c r="M9" s="307">
        <f t="shared" ca="1" si="2"/>
        <v>0.77859211150881136</v>
      </c>
      <c r="N9" s="308" t="e">
        <f>Divident_all!#REF!</f>
        <v>#REF!</v>
      </c>
      <c r="O9" s="308" t="e">
        <f>Divident_all!#REF!</f>
        <v>#REF!</v>
      </c>
      <c r="P9" s="309" t="e">
        <f>Divident_all!#REF!</f>
        <v>#REF!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511" t="e">
        <f>Divident_all!#REF!</f>
        <v>#REF!</v>
      </c>
      <c r="C10" s="511" t="e">
        <f>Divident_all!#REF!</f>
        <v>#REF!</v>
      </c>
      <c r="D10" s="512" t="e">
        <f>Divident_all!#REF!</f>
        <v>#REF!</v>
      </c>
      <c r="E10" s="513">
        <f ca="1">IFERROR(__xludf.DUMMYFUNCTION("(((H10/GOOGLEFINANCE (""Currency:USDRON""))/D10)+F10)"),0.229059018049208)</f>
        <v>0.229059018049208</v>
      </c>
      <c r="F10" s="511" t="e">
        <f>Divident_all!#REF!</f>
        <v>#REF!</v>
      </c>
      <c r="G10" s="512">
        <f ca="1">IFERROR(__xludf.DUMMYFUNCTION("H10/GOOGLEFINANCE (""Currency:usdRON"")"),14.4634075788255)</f>
        <v>14.4634075788255</v>
      </c>
      <c r="H10" s="514">
        <v>65</v>
      </c>
      <c r="I10" s="515" t="e">
        <f>D10/(C10)</f>
        <v>#REF!</v>
      </c>
      <c r="J10" s="512" t="e">
        <f t="shared" ref="J10:J23" ca="1" si="5">((E10*C10)/100)</f>
        <v>#REF!</v>
      </c>
      <c r="K10" s="516">
        <f ca="1">IFERROR(__xludf.DUMMYFUNCTION("(F10*C10)/100*GOOGLEFINANCE (""Currency:usdRON"")"),0.861558136081499)</f>
        <v>0.861558136081499</v>
      </c>
      <c r="L10" s="517">
        <f ca="1">IFERROR(__xludf.DUMMYFUNCTION("(((H10/GOOGLEFINANCE (""Currency:usdRON""))/D10)*C10)/100*GOOGLEFINANCE (""Currency:usdRON"")"),0.836975183393163)</f>
        <v>0.83697518339316301</v>
      </c>
      <c r="M10" s="362">
        <f t="shared" ca="1" si="2"/>
        <v>0.97146686722715769</v>
      </c>
      <c r="N10" s="518" t="e">
        <f>Divident_all!#REF!</f>
        <v>#REF!</v>
      </c>
      <c r="O10" s="518" t="e">
        <f>Divident_all!#REF!</f>
        <v>#REF!</v>
      </c>
      <c r="P10" s="519" t="e">
        <f>Divident_all!#REF!</f>
        <v>#REF!</v>
      </c>
      <c r="Q10" s="234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328" t="e">
        <f>Divident_all!#REF!</f>
        <v>#REF!</v>
      </c>
      <c r="C11" s="328" t="e">
        <f>Divident_all!#REF!</f>
        <v>#REF!</v>
      </c>
      <c r="D11" s="329" t="e">
        <f>Divident_all!#REF!</f>
        <v>#REF!</v>
      </c>
      <c r="E11" s="330">
        <f ca="1">IFERROR(__xludf.DUMMYFUNCTION("(((H11/GOOGLEFINANCE (""Currency:USDRON""))/D11)+F11)"),1.04728716561362)</f>
        <v>1.04728716561362</v>
      </c>
      <c r="F11" s="328" t="e">
        <f>Divident_all!#REF!</f>
        <v>#REF!</v>
      </c>
      <c r="G11" s="329">
        <f ca="1">IFERROR(__xludf.DUMMYFUNCTION("H11/GOOGLEFINANCE (""Currency:USDRON"")"),13.3508377650697)</f>
        <v>13.3508377650697</v>
      </c>
      <c r="H11" s="331">
        <v>60</v>
      </c>
      <c r="I11" s="332" t="e">
        <f t="shared" ref="I11:I12" si="6">D11/C11</f>
        <v>#REF!</v>
      </c>
      <c r="J11" s="329" t="e">
        <f t="shared" ca="1" si="5"/>
        <v>#REF!</v>
      </c>
      <c r="K11" s="333">
        <f ca="1">IFERROR(__xludf.DUMMYFUNCTION("(F11*C11)/100*GOOGLEFINANCE (""Currency:USDRON"")"),0.74134314072)</f>
        <v>0.74134314071999996</v>
      </c>
      <c r="L11" s="334">
        <f ca="1">IFERROR(__xludf.DUMMYFUNCTION("(((H11/GOOGLEFINANCE (""Currency:USDRON""))/D11)*C11)/100*GOOGLEFINANCE (""Currency:USDRON"")"),0.67064083457526)</f>
        <v>0.67064083457526003</v>
      </c>
      <c r="M11" s="335">
        <f t="shared" ca="1" si="2"/>
        <v>0.90462944585138649</v>
      </c>
      <c r="N11" s="336" t="e">
        <f>Divident_all!#REF!</f>
        <v>#REF!</v>
      </c>
      <c r="O11" s="336" t="e">
        <f>Divident_all!#REF!</f>
        <v>#REF!</v>
      </c>
      <c r="P11" s="337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389" t="e">
        <f>Divident_all!#REF!</f>
        <v>#REF!</v>
      </c>
      <c r="C12" s="389" t="e">
        <f>Divident_all!#REF!</f>
        <v>#REF!</v>
      </c>
      <c r="D12" s="390" t="e">
        <f>Divident_all!#REF!</f>
        <v>#REF!</v>
      </c>
      <c r="E12" s="391">
        <f ca="1">IFERROR(__xludf.DUMMYFUNCTION("(((H12/GOOGLEFINANCE (""Currency:USDRON""))/D12)+F12)"),0.268082531473471)</f>
        <v>0.268082531473471</v>
      </c>
      <c r="F12" s="389" t="e">
        <f>Divident_all!#REF!</f>
        <v>#REF!</v>
      </c>
      <c r="G12" s="390">
        <f ca="1">IFERROR(__xludf.DUMMYFUNCTION("H12/GOOGLEFINANCE (""Currency:USDRON"")"),13.3508377650697)</f>
        <v>13.3508377650697</v>
      </c>
      <c r="H12" s="392">
        <v>60</v>
      </c>
      <c r="I12" s="393" t="e">
        <f t="shared" si="6"/>
        <v>#REF!</v>
      </c>
      <c r="J12" s="390" t="e">
        <f t="shared" ca="1" si="5"/>
        <v>#REF!</v>
      </c>
      <c r="K12" s="520">
        <f ca="1">IFERROR(__xludf.DUMMYFUNCTION("(F12*C12)/100*GOOGLEFINANCE (""Currency:USDRON"")"),0.593238888777599)</f>
        <v>0.593238888777599</v>
      </c>
      <c r="L12" s="394">
        <f ca="1">IFERROR(__xludf.DUMMYFUNCTION("(((H12/GOOGLEFINANCE (""Currency:USDRON""))/D12)*C12)/100*GOOGLEFINANCE (""Currency:USDRON"")"),0.617574764440803)</f>
        <v>0.61757476444080295</v>
      </c>
      <c r="M12" s="386">
        <f t="shared" ca="1" si="2"/>
        <v>1.0410220505155172</v>
      </c>
      <c r="N12" s="395" t="e">
        <f>Divident_all!#REF!</f>
        <v>#REF!</v>
      </c>
      <c r="O12" s="395" t="e">
        <f>Divident_all!#REF!</f>
        <v>#REF!</v>
      </c>
      <c r="P12" s="396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480" t="e">
        <f>Divident_all!#REF!</f>
        <v>#REF!</v>
      </c>
      <c r="C13" s="480" t="e">
        <f>Divident_all!#REF!</f>
        <v>#REF!</v>
      </c>
      <c r="D13" s="481" t="e">
        <f>Divident_all!#REF!</f>
        <v>#REF!</v>
      </c>
      <c r="E13" s="482">
        <f ca="1">IFERROR(__xludf.DUMMYFUNCTION("(((H13/GOOGLEFINANCE (""Currency:USDRON""))/D13)+F13)"),0.535444454511142)</f>
        <v>0.53544445451114198</v>
      </c>
      <c r="F13" s="480" t="e">
        <f>Divident_all!#REF!</f>
        <v>#REF!</v>
      </c>
      <c r="G13" s="481">
        <f ca="1">IFERROR(__xludf.DUMMYFUNCTION("H13/GOOGLEFINANCE (""Currency:USDRON"")"),12.2382679513139)</f>
        <v>12.238267951313899</v>
      </c>
      <c r="H13" s="400">
        <v>55</v>
      </c>
      <c r="I13" s="483" t="e">
        <f>D13/(C13)</f>
        <v>#REF!</v>
      </c>
      <c r="J13" s="481" t="e">
        <f t="shared" ca="1" si="5"/>
        <v>#REF!</v>
      </c>
      <c r="K13" s="484">
        <f ca="1">IFERROR(__xludf.DUMMYFUNCTION("(F13*C13)/100*GOOGLEFINANCE (""Currency:USDRON"")"),0.439136801986999)</f>
        <v>0.439136801986999</v>
      </c>
      <c r="L13" s="485">
        <f ca="1">IFERROR(__xludf.DUMMYFUNCTION("(((H13/GOOGLEFINANCE (""Currency:USDRON""))/D13)*C13)/100*GOOGLEFINANCE (""Currency:USDRON"")"),0.547462976450594)</f>
        <v>0.54746297645059405</v>
      </c>
      <c r="M13" s="404">
        <f t="shared" ca="1" si="2"/>
        <v>1.246679790838396</v>
      </c>
      <c r="N13" s="486" t="e">
        <f>Divident_all!#REF!</f>
        <v>#REF!</v>
      </c>
      <c r="O13" s="486" t="e">
        <f>Divident_all!#REF!</f>
        <v>#REF!</v>
      </c>
      <c r="P13" s="487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00" t="e">
        <f>Divident_all!#REF!</f>
        <v>#REF!</v>
      </c>
      <c r="C14" s="300" t="e">
        <f>Divident_all!#REF!</f>
        <v>#REF!</v>
      </c>
      <c r="D14" s="301" t="e">
        <f>Divident_all!#REF!</f>
        <v>#REF!</v>
      </c>
      <c r="E14" s="302">
        <f ca="1">IFERROR(__xludf.DUMMYFUNCTION("(((H14/GOOGLEFINANCE (""Currency:USDRON""))/D14)+F14)"),0.768125734630703)</f>
        <v>0.76812573463070299</v>
      </c>
      <c r="F14" s="300" t="e">
        <f>Divident_all!#REF!</f>
        <v>#REF!</v>
      </c>
      <c r="G14" s="301">
        <f ca="1">IFERROR(__xludf.DUMMYFUNCTION("H14/GOOGLEFINANCE (""Currency:USDRON"")"),12.2382679513139)</f>
        <v>12.238267951313899</v>
      </c>
      <c r="H14" s="303">
        <v>55</v>
      </c>
      <c r="I14" s="304" t="e">
        <f t="shared" ref="I14:I23" si="7">D14/C14</f>
        <v>#REF!</v>
      </c>
      <c r="J14" s="301" t="e">
        <f t="shared" ca="1" si="5"/>
        <v>#REF!</v>
      </c>
      <c r="K14" s="305">
        <f ca="1">IFERROR(__xludf.DUMMYFUNCTION("(F14*C14)/100*GOOGLEFINANCE (""Currency:USDRON"")"),0.831545827112519)</f>
        <v>0.83154582711251901</v>
      </c>
      <c r="L14" s="306">
        <f ca="1">IFERROR(__xludf.DUMMYFUNCTION("(((H14/GOOGLEFINANCE (""Currency:USDRON""))/D14)*C14)/100*GOOGLEFINANCE (""Currency:USDRON"")"),0.537530803351404)</f>
        <v>0.53753080335140402</v>
      </c>
      <c r="M14" s="307">
        <f t="shared" ca="1" si="2"/>
        <v>0.64642354735630114</v>
      </c>
      <c r="N14" s="308" t="e">
        <f>Divident_all!#REF!</f>
        <v>#REF!</v>
      </c>
      <c r="O14" s="308" t="e">
        <f>Divident_all!#REF!</f>
        <v>#REF!</v>
      </c>
      <c r="P14" s="309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389" t="e">
        <f>Divident_all!#REF!</f>
        <v>#REF!</v>
      </c>
      <c r="C15" s="389" t="e">
        <f>Divident_all!#REF!</f>
        <v>#REF!</v>
      </c>
      <c r="D15" s="390" t="e">
        <f>Divident_all!#REF!</f>
        <v>#REF!</v>
      </c>
      <c r="E15" s="391">
        <f ca="1">IFERROR(__xludf.DUMMYFUNCTION("(((H15/GOOGLEFINANCE (""Currency:USDRON""))/D15)+F15)"),0.381245708525353)</f>
        <v>0.381245708525353</v>
      </c>
      <c r="F15" s="389" t="e">
        <f>Divident_all!#REF!</f>
        <v>#REF!</v>
      </c>
      <c r="G15" s="390">
        <f ca="1">IFERROR(__xludf.DUMMYFUNCTION("H15/GOOGLEFINANCE (""Currency:USDRON"")"),12.2382679513139)</f>
        <v>12.238267951313899</v>
      </c>
      <c r="H15" s="392">
        <v>55</v>
      </c>
      <c r="I15" s="393" t="e">
        <f t="shared" si="7"/>
        <v>#REF!</v>
      </c>
      <c r="J15" s="390" t="e">
        <f t="shared" ca="1" si="5"/>
        <v>#REF!</v>
      </c>
      <c r="K15" s="520">
        <f ca="1">IFERROR(__xludf.DUMMYFUNCTION("(F15*C15)/100*GOOGLEFINANCE (""Currency:USDRON"")"),0.645204634463999)</f>
        <v>0.645204634463999</v>
      </c>
      <c r="L15" s="394">
        <f ca="1">IFERROR(__xludf.DUMMYFUNCTION("(((H15/GOOGLEFINANCE (""Currency:USDRON""))/D15)*C15)/100*GOOGLEFINANCE (""Currency:USDRON"")"),0.519877675840978)</f>
        <v>0.51987767584097799</v>
      </c>
      <c r="M15" s="386">
        <f t="shared" ca="1" si="2"/>
        <v>0.80575626409265355</v>
      </c>
      <c r="N15" s="395" t="e">
        <f>Divident_all!#REF!</f>
        <v>#REF!</v>
      </c>
      <c r="O15" s="395" t="e">
        <f>Divident_all!#REF!</f>
        <v>#REF!</v>
      </c>
      <c r="P15" s="396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300" t="e">
        <f>Divident_all!#REF!</f>
        <v>#REF!</v>
      </c>
      <c r="C16" s="300" t="e">
        <f>Divident_all!#REF!</f>
        <v>#REF!</v>
      </c>
      <c r="D16" s="301" t="e">
        <f>Divident_all!#REF!</f>
        <v>#REF!</v>
      </c>
      <c r="E16" s="302">
        <f ca="1">IFERROR(__xludf.DUMMYFUNCTION("(((H16/GOOGLEFINANCE (""Currency:USDRON""))/D16)+F16)"),0.137858366500312)</f>
        <v>0.137858366500312</v>
      </c>
      <c r="F16" s="300" t="e">
        <f>Divident_all!#REF!</f>
        <v>#REF!</v>
      </c>
      <c r="G16" s="301">
        <f ca="1">IFERROR(__xludf.DUMMYFUNCTION("H16/GOOGLEFINANCE (""Currency:USDRON"")"),12.2382679513139)</f>
        <v>12.238267951313899</v>
      </c>
      <c r="H16" s="303">
        <v>55</v>
      </c>
      <c r="I16" s="304" t="e">
        <f t="shared" si="7"/>
        <v>#REF!</v>
      </c>
      <c r="J16" s="301" t="e">
        <f t="shared" ca="1" si="5"/>
        <v>#REF!</v>
      </c>
      <c r="K16" s="305">
        <f ca="1">IFERROR(__xludf.DUMMYFUNCTION("(F16*C16)/100*GOOGLEFINANCE (""Currency:USDRON"")"),0.4539026259352)</f>
        <v>0.45390262593519998</v>
      </c>
      <c r="L16" s="306">
        <f ca="1">IFERROR(__xludf.DUMMYFUNCTION("(((H16/GOOGLEFINANCE (""Currency:USDRON""))/D16)*C16)/100*GOOGLEFINANCE (""Currency:USDRON"")"),0.481616794247274)</f>
        <v>0.48161679424727399</v>
      </c>
      <c r="M16" s="307">
        <f t="shared" ca="1" si="2"/>
        <v>1.0610575192310752</v>
      </c>
      <c r="N16" s="308" t="e">
        <f>Divident_all!#REF!</f>
        <v>#REF!</v>
      </c>
      <c r="O16" s="308" t="e">
        <f>Divident_all!#REF!</f>
        <v>#REF!</v>
      </c>
      <c r="P16" s="309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480" t="e">
        <f>Divident_all!#REF!</f>
        <v>#REF!</v>
      </c>
      <c r="C17" s="480" t="e">
        <f>Divident_all!#REF!</f>
        <v>#REF!</v>
      </c>
      <c r="D17" s="481" t="e">
        <f>Divident_all!#REF!</f>
        <v>#REF!</v>
      </c>
      <c r="E17" s="482">
        <f ca="1">IFERROR(__xludf.DUMMYFUNCTION("(((H17/GOOGLEFINANCE (""Currency:USDRON""))/D17)+F17)"),0.152734134052785)</f>
        <v>0.15273413405278499</v>
      </c>
      <c r="F17" s="480" t="e">
        <f>Divident_all!#REF!</f>
        <v>#REF!</v>
      </c>
      <c r="G17" s="481">
        <f ca="1">IFERROR(__xludf.DUMMYFUNCTION("H17/GOOGLEFINANCE (""Currency:USDRON"")"),12.2382679513139)</f>
        <v>12.238267951313899</v>
      </c>
      <c r="H17" s="400">
        <v>55</v>
      </c>
      <c r="I17" s="483" t="e">
        <f t="shared" si="7"/>
        <v>#REF!</v>
      </c>
      <c r="J17" s="481" t="e">
        <f t="shared" ca="1" si="5"/>
        <v>#REF!</v>
      </c>
      <c r="K17" s="484">
        <f ca="1">IFERROR(__xludf.DUMMYFUNCTION("(F17*C17)/100*GOOGLEFINANCE (""Currency:USDRON"")"),0.400875989520499)</f>
        <v>0.40087598952049902</v>
      </c>
      <c r="L17" s="485">
        <f ca="1">IFERROR(__xludf.DUMMYFUNCTION("(((H17/GOOGLEFINANCE (""Currency:USDRON""))/D17)*C17)/100*GOOGLEFINANCE (""Currency:USDRON"")"),0.374758803666184)</f>
        <v>0.37475880366618403</v>
      </c>
      <c r="M17" s="404">
        <f t="shared" ca="1" si="2"/>
        <v>0.9348497127863542</v>
      </c>
      <c r="N17" s="486" t="e">
        <f>Divident_all!#REF!</f>
        <v>#REF!</v>
      </c>
      <c r="O17" s="486" t="e">
        <f>Divident_all!#REF!</f>
        <v>#REF!</v>
      </c>
      <c r="P17" s="487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407" t="e">
        <f>Divident_all!#REF!</f>
        <v>#REF!</v>
      </c>
      <c r="C18" s="407" t="e">
        <f>Divident_all!#REF!</f>
        <v>#REF!</v>
      </c>
      <c r="D18" s="408" t="e">
        <f>Divident_all!#REF!</f>
        <v>#REF!</v>
      </c>
      <c r="E18" s="409">
        <f ca="1">IFERROR(__xludf.DUMMYFUNCTION("(((H18/GOOGLEFINANCE (""Currency:USDRON""))/D18)+F18)"),0.0924654030620005)</f>
        <v>9.2465403062000504E-2</v>
      </c>
      <c r="F18" s="407" t="e">
        <f>Divident_all!#REF!</f>
        <v>#REF!</v>
      </c>
      <c r="G18" s="408">
        <f ca="1">IFERROR(__xludf.DUMMYFUNCTION("H18/GOOGLEFINANCE (""Currency:USDRON"")"),12.2382679513139)</f>
        <v>12.238267951313899</v>
      </c>
      <c r="H18" s="410">
        <v>55</v>
      </c>
      <c r="I18" s="411" t="e">
        <f t="shared" si="7"/>
        <v>#REF!</v>
      </c>
      <c r="J18" s="408" t="e">
        <f t="shared" ca="1" si="5"/>
        <v>#REF!</v>
      </c>
      <c r="K18" s="500">
        <f ca="1">IFERROR(__xludf.DUMMYFUNCTION("(F18*C18)/100*GOOGLEFINANCE (""Currency:USDRON"")"),0.282778416338599)</f>
        <v>0.28277841633859901</v>
      </c>
      <c r="L18" s="413">
        <f ca="1">IFERROR(__xludf.DUMMYFUNCTION("(((H18/GOOGLEFINANCE (""Currency:USDRON""))/D18)*C18)/100*GOOGLEFINANCE (""Currency:USDRON"")"),0.36963314926587)</f>
        <v>0.36963314926586999</v>
      </c>
      <c r="M18" s="414">
        <f t="shared" ca="1" si="2"/>
        <v>1.3071476743234571</v>
      </c>
      <c r="N18" s="415" t="e">
        <f>Divident_all!#REF!</f>
        <v>#REF!</v>
      </c>
      <c r="O18" s="415" t="e">
        <f>Divident_all!#REF!</f>
        <v>#REF!</v>
      </c>
      <c r="P18" s="416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407" t="e">
        <f>Divident_all!#REF!</f>
        <v>#REF!</v>
      </c>
      <c r="C19" s="407" t="e">
        <f>Divident_all!#REF!</f>
        <v>#REF!</v>
      </c>
      <c r="D19" s="408" t="e">
        <f>Divident_all!#REF!</f>
        <v>#REF!</v>
      </c>
      <c r="E19" s="409">
        <f ca="1">IFERROR(__xludf.DUMMYFUNCTION("(((H19/GOOGLEFINANCE (""Currency:USDRON""))/D19)+F19)"),0.239117297563202)</f>
        <v>0.23911729756320199</v>
      </c>
      <c r="F19" s="407" t="e">
        <f>Divident_all!#REF!</f>
        <v>#REF!</v>
      </c>
      <c r="G19" s="408">
        <f ca="1">IFERROR(__xludf.DUMMYFUNCTION("H19/GOOGLEFINANCE (""Currency:USDRON"")"),11.1256981375581)</f>
        <v>11.1256981375581</v>
      </c>
      <c r="H19" s="410">
        <v>50</v>
      </c>
      <c r="I19" s="411" t="e">
        <f t="shared" si="7"/>
        <v>#REF!</v>
      </c>
      <c r="J19" s="408" t="e">
        <f t="shared" ca="1" si="5"/>
        <v>#REF!</v>
      </c>
      <c r="K19" s="412">
        <f ca="1">IFERROR(__xludf.DUMMYFUNCTION("(F19*C19)/100*GOOGLEFINANCE (""Currency:USDRON"")"),0.257735556416)</f>
        <v>0.25773555641599999</v>
      </c>
      <c r="L19" s="413">
        <f ca="1">IFERROR(__xludf.DUMMYFUNCTION("(((H19/GOOGLEFINANCE (""Currency:USDRON""))/D19)*C19)/100*GOOGLEFINANCE (""Currency:USDRON"")"),0.301065308012969)</f>
        <v>0.30106530801296899</v>
      </c>
      <c r="M19" s="499">
        <f t="shared" ca="1" si="2"/>
        <v>1.1681170894675947</v>
      </c>
      <c r="N19" s="415" t="e">
        <f>Divident_all!#REF!</f>
        <v>#REF!</v>
      </c>
      <c r="O19" s="415" t="e">
        <f>Divident_all!#REF!</f>
        <v>#REF!</v>
      </c>
      <c r="P19" s="416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380" t="e">
        <f>Divident_all!#REF!</f>
        <v>#REF!</v>
      </c>
      <c r="C20" s="380" t="e">
        <f>Divident_all!#REF!</f>
        <v>#REF!</v>
      </c>
      <c r="D20" s="381" t="e">
        <f>Divident_all!#REF!</f>
        <v>#REF!</v>
      </c>
      <c r="E20" s="382">
        <f ca="1">IFERROR(__xludf.DUMMYFUNCTION("(((H20/GOOGLEFINANCE (""Currency:USDRON""))/D20)+F20)"),0.179849036331568)</f>
        <v>0.17984903633156801</v>
      </c>
      <c r="F20" s="380" t="e">
        <f>Divident_all!#REF!</f>
        <v>#REF!</v>
      </c>
      <c r="G20" s="381">
        <f ca="1">IFERROR(__xludf.DUMMYFUNCTION("H20/GOOGLEFINANCE (""Currency:USDRON"")"),10.0131283238023)</f>
        <v>10.013128323802301</v>
      </c>
      <c r="H20" s="94">
        <v>45</v>
      </c>
      <c r="I20" s="383" t="e">
        <f t="shared" si="7"/>
        <v>#REF!</v>
      </c>
      <c r="J20" s="381" t="e">
        <f t="shared" ca="1" si="5"/>
        <v>#REF!</v>
      </c>
      <c r="K20" s="384">
        <f ca="1">IFERROR(__xludf.DUMMYFUNCTION("(F20*C20)/100*GOOGLEFINANCE (""Currency:USDRON"")"),0.125169808022999)</f>
        <v>0.12516980802299901</v>
      </c>
      <c r="L20" s="385">
        <f ca="1">IFERROR(__xludf.DUMMYFUNCTION("(((H20/GOOGLEFINANCE (""Currency:USDRON""))/D20)*C20)/100*GOOGLEFINANCE (""Currency:USDRON"")"),0.196113364762635)</f>
        <v>0.196113364762635</v>
      </c>
      <c r="M20" s="479">
        <f t="shared" ca="1" si="2"/>
        <v>1.5667785056169508</v>
      </c>
      <c r="N20" s="387" t="e">
        <f>Divident_all!#REF!</f>
        <v>#REF!</v>
      </c>
      <c r="O20" s="387" t="e">
        <f>Divident_all!#REF!</f>
        <v>#REF!</v>
      </c>
      <c r="P20" s="388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407" t="e">
        <f>Divident_all!#REF!</f>
        <v>#REF!</v>
      </c>
      <c r="C21" s="407" t="e">
        <f>Divident_all!#REF!</f>
        <v>#REF!</v>
      </c>
      <c r="D21" s="408" t="e">
        <f>Divident_all!#REF!</f>
        <v>#REF!</v>
      </c>
      <c r="E21" s="409">
        <f ca="1">IFERROR(__xludf.DUMMYFUNCTION("(((H21/GOOGLEFINANCE (""Currency:USDRON""))/D21)+F21)"),0.0529960969001357)</f>
        <v>5.2996096900135702E-2</v>
      </c>
      <c r="F21" s="407" t="e">
        <f>Divident_all!#REF!</f>
        <v>#REF!</v>
      </c>
      <c r="G21" s="408">
        <f ca="1">IFERROR(__xludf.DUMMYFUNCTION("H21/GOOGLEFINANCE (""Currency:USDRON"")"),10.0131283238023)</f>
        <v>10.013128323802301</v>
      </c>
      <c r="H21" s="410">
        <v>45</v>
      </c>
      <c r="I21" s="411" t="e">
        <f t="shared" si="7"/>
        <v>#REF!</v>
      </c>
      <c r="J21" s="408" t="e">
        <f t="shared" ca="1" si="5"/>
        <v>#REF!</v>
      </c>
      <c r="K21" s="412">
        <f ca="1">IFERROR(__xludf.DUMMYFUNCTION("(F21*C21)/100*GOOGLEFINANCE (""Currency:USDRON"")"),0.1292128981234)</f>
        <v>0.12921289812340001</v>
      </c>
      <c r="L21" s="413">
        <f ca="1">IFERROR(__xludf.DUMMYFUNCTION("(((H21/GOOGLEFINANCE (""Currency:USDRON""))/D21)*C21)/100*GOOGLEFINANCE (""Currency:USDRON"")"),0.187552881451537)</f>
        <v>0.18755288145153701</v>
      </c>
      <c r="M21" s="499">
        <f t="shared" ca="1" si="2"/>
        <v>1.451502784748482</v>
      </c>
      <c r="N21" s="415" t="e">
        <f>Divident_all!#REF!</f>
        <v>#REF!</v>
      </c>
      <c r="O21" s="415" t="e">
        <f>Divident_all!#REF!</f>
        <v>#REF!</v>
      </c>
      <c r="P21" s="416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55" t="e">
        <f>Divident_all!#REF!</f>
        <v>#REF!</v>
      </c>
      <c r="C22" s="355" t="e">
        <f>Divident_all!#REF!</f>
        <v>#REF!</v>
      </c>
      <c r="D22" s="356" t="e">
        <f>Divident_all!#REF!</f>
        <v>#REF!</v>
      </c>
      <c r="E22" s="357">
        <f ca="1">IFERROR(__xludf.DUMMYFUNCTION("(((H22/GOOGLEFINANCE (""Currency:USDRON""))/D22)+F22)"),0.10288502726117)</f>
        <v>0.10288502726117001</v>
      </c>
      <c r="F22" s="355" t="e">
        <f>Divident_all!#REF!</f>
        <v>#REF!</v>
      </c>
      <c r="G22" s="356">
        <f ca="1">IFERROR(__xludf.DUMMYFUNCTION("H22/GOOGLEFINANCE (""Currency:usdRON"")"),10.0131283238023)</f>
        <v>10.013128323802301</v>
      </c>
      <c r="H22" s="358">
        <v>45</v>
      </c>
      <c r="I22" s="359" t="e">
        <f t="shared" si="7"/>
        <v>#REF!</v>
      </c>
      <c r="J22" s="356" t="e">
        <f t="shared" ca="1" si="5"/>
        <v>#REF!</v>
      </c>
      <c r="K22" s="360">
        <f ca="1">IFERROR(__xludf.DUMMYFUNCTION("(F22*C22)/100*GOOGLEFINANCE (""Currency:usdRON"")"),0.197151565041599)</f>
        <v>0.197151565041599</v>
      </c>
      <c r="L22" s="361">
        <f ca="1">IFERROR(__xludf.DUMMYFUNCTION("(((H22/GOOGLEFINANCE (""Currency:usdRON""))/D22)*C22)/100*GOOGLEFINANCE (""Currency:usdRON"")"),0.117263843648208)</f>
        <v>0.11726384364820799</v>
      </c>
      <c r="M22" s="521">
        <f t="shared" ca="1" si="2"/>
        <v>0.59479032602893778</v>
      </c>
      <c r="N22" s="363" t="e">
        <f>Divident_all!#REF!</f>
        <v>#REF!</v>
      </c>
      <c r="O22" s="363" t="e">
        <f>Divident_all!#REF!</f>
        <v>#REF!</v>
      </c>
      <c r="P22" s="364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355" t="e">
        <f>Divident_all!#REF!</f>
        <v>#REF!</v>
      </c>
      <c r="C23" s="355" t="e">
        <f>Divident_all!#REF!</f>
        <v>#REF!</v>
      </c>
      <c r="D23" s="356" t="e">
        <f>Divident_all!#REF!</f>
        <v>#REF!</v>
      </c>
      <c r="E23" s="357">
        <f ca="1">IFERROR(__xludf.DUMMYFUNCTION("(((H23/GOOGLEFINANCE (""Currency:USDRON""))/D23)+F23)"),0.112735888129061)</f>
        <v>0.112735888129061</v>
      </c>
      <c r="F23" s="355" t="e">
        <f>Divident_all!#REF!</f>
        <v>#REF!</v>
      </c>
      <c r="G23" s="356">
        <f ca="1">IFERROR(__xludf.DUMMYFUNCTION("H23/GOOGLEFINANCE (""Currency:USDRON"")"),10.0131283238023)</f>
        <v>10.013128323802301</v>
      </c>
      <c r="H23" s="358">
        <v>45</v>
      </c>
      <c r="I23" s="359" t="e">
        <f t="shared" si="7"/>
        <v>#REF!</v>
      </c>
      <c r="J23" s="356" t="e">
        <f t="shared" ca="1" si="5"/>
        <v>#REF!</v>
      </c>
      <c r="K23" s="360">
        <f ca="1">IFERROR(__xludf.DUMMYFUNCTION("(F23*C23)/100*GOOGLEFINANCE (""Currency:USDRON"")"),0.0538811221182)</f>
        <v>5.3881122118200002E-2</v>
      </c>
      <c r="L23" s="361">
        <f ca="1">IFERROR(__xludf.DUMMYFUNCTION("(((H23/GOOGLEFINANCE (""Currency:USDRON""))/D23)*C23)/100*GOOGLEFINANCE (""Currency:USDRON"")"),0.0626475394951879)</f>
        <v>6.2647539495187907E-2</v>
      </c>
      <c r="M23" s="521">
        <f t="shared" ca="1" si="2"/>
        <v>1.1626992355088088</v>
      </c>
      <c r="N23" s="363" t="e">
        <f>Divident_all!#REF!</f>
        <v>#REF!</v>
      </c>
      <c r="O23" s="363" t="e">
        <f>Divident_all!#REF!</f>
        <v>#REF!</v>
      </c>
      <c r="P23" s="364" t="e">
        <f>Divident_all!#REF!</f>
        <v>#REF!</v>
      </c>
      <c r="Q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166"/>
      <c r="B24" s="365"/>
      <c r="C24" s="365"/>
      <c r="D24" s="366"/>
      <c r="E24" s="367"/>
      <c r="F24" s="365"/>
      <c r="G24" s="366"/>
      <c r="H24" s="365"/>
      <c r="I24" s="368"/>
      <c r="J24" s="366"/>
      <c r="K24" s="369"/>
      <c r="L24" s="369"/>
      <c r="M24" s="369"/>
      <c r="N24" s="370"/>
      <c r="O24" s="370"/>
      <c r="P24" s="371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166"/>
      <c r="B25" s="365"/>
      <c r="C25" s="365"/>
      <c r="D25" s="366"/>
      <c r="E25" s="367"/>
      <c r="F25" s="365"/>
      <c r="G25" s="366"/>
      <c r="H25" s="365"/>
      <c r="I25" s="368"/>
      <c r="J25" s="366"/>
      <c r="K25" s="369"/>
      <c r="L25" s="369"/>
      <c r="M25" s="369"/>
      <c r="N25" s="370"/>
      <c r="O25" s="370"/>
      <c r="P25" s="371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G25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90</v>
      </c>
      <c r="L2" s="264">
        <f ca="1">((L4*4)*100)/(500+K2)</f>
        <v>4.4959408234559035</v>
      </c>
      <c r="M2" s="12">
        <v>15</v>
      </c>
      <c r="N2" s="12"/>
      <c r="O2" s="12"/>
      <c r="P2" s="12"/>
    </row>
    <row r="3" spans="1:33" ht="15.75" customHeight="1">
      <c r="A3" s="265" t="s">
        <v>27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AVERAGE(C5:C25)</f>
        <v>#REF!</v>
      </c>
      <c r="D4" s="118" t="e">
        <f t="shared" ca="1" si="0"/>
        <v>#REF!</v>
      </c>
      <c r="E4" s="267">
        <f t="shared" ca="1" si="0"/>
        <v>0.4964103540490426</v>
      </c>
      <c r="F4" s="116"/>
      <c r="G4" s="247">
        <f ca="1">SUM(G5:G25)</f>
        <v>134.62094746445328</v>
      </c>
      <c r="H4" s="116">
        <f>500+K2+M2-SUM(H5:H25)</f>
        <v>0</v>
      </c>
      <c r="I4" s="118"/>
      <c r="J4" s="118" t="e">
        <f t="shared" ref="J4:L4" ca="1" si="1">SUM(J5:J25)</f>
        <v>#REF!</v>
      </c>
      <c r="K4" s="123">
        <f t="shared" ca="1" si="1"/>
        <v>19.092693019786509</v>
      </c>
      <c r="L4" s="123">
        <f t="shared" ca="1" si="1"/>
        <v>6.6315127145974575</v>
      </c>
      <c r="M4" s="117">
        <f t="shared" ref="M4:M25" ca="1" si="2">L4/K4</f>
        <v>0.34733249561625279</v>
      </c>
      <c r="N4" s="125"/>
      <c r="O4" s="125"/>
      <c r="P4" s="126"/>
    </row>
    <row r="5" spans="1:33" ht="12.75">
      <c r="A5" s="166"/>
      <c r="B5" s="280" t="str">
        <f>Divident_all!B3</f>
        <v>AMD</v>
      </c>
      <c r="C5" s="280">
        <f>Divident_all!D3</f>
        <v>62.5</v>
      </c>
      <c r="D5" s="281">
        <f ca="1">Divident_all!E3</f>
        <v>20.89</v>
      </c>
      <c r="E5" s="282">
        <f ca="1">IFERROR(__xludf.DUMMYFUNCTION("(((H5/GOOGLEFINANCE (""Currency:USDRON""))/D5)+F5)"),1.43424490378393)</f>
        <v>1.43424490378393</v>
      </c>
      <c r="F5" s="280">
        <f>Divident_all!I3</f>
        <v>1.0081769999999999</v>
      </c>
      <c r="G5" s="281">
        <f ca="1">IFERROR(__xludf.DUMMYFUNCTION("H5/GOOGLEFINANCE (""Currency:USDRON"")"),8.9005585100465)</f>
        <v>8.9005585100464994</v>
      </c>
      <c r="H5" s="283">
        <v>40</v>
      </c>
      <c r="I5" s="284">
        <f t="shared" ref="I5:I18" ca="1" si="3">D5/C5</f>
        <v>0.33423999999999998</v>
      </c>
      <c r="J5" s="281">
        <f t="shared" ref="J5:J25" ca="1" si="4">((E5*C5)/100)</f>
        <v>0.89640306486495613</v>
      </c>
      <c r="K5" s="285">
        <f ca="1">IFERROR(__xludf.DUMMYFUNCTION("(F5*C5)/100*GOOGLEFINANCE (""Currency:USDRON"")"),2.83178015981249)</f>
        <v>2.8317801598124901</v>
      </c>
      <c r="L5" s="286">
        <f ca="1">IFERROR(__xludf.DUMMYFUNCTION("(((H5/GOOGLEFINANCE (""Currency:USDRON""))/D5)*C5)/100*GOOGLEFINANCE (""Currency:USDRON"")"),1.19674485399712)</f>
        <v>1.1967448539971199</v>
      </c>
      <c r="M5" s="287">
        <f t="shared" ca="1" si="2"/>
        <v>0.42261220379351905</v>
      </c>
      <c r="N5" s="288" t="str">
        <f>Divident_all!M3</f>
        <v>Consumer Cyclical</v>
      </c>
      <c r="O5" s="288" t="str">
        <f>Divident_all!N3</f>
        <v>Auto &amp; Truck Dealerships</v>
      </c>
      <c r="P5" s="289">
        <f>Divident_all!O3</f>
        <v>12584</v>
      </c>
      <c r="Q5" s="166"/>
      <c r="R5" s="279"/>
    </row>
    <row r="6" spans="1:33" ht="12.75">
      <c r="A6" s="166"/>
      <c r="B6" s="290" t="e">
        <f>Divident_all!#REF!</f>
        <v>#REF!</v>
      </c>
      <c r="C6" s="290" t="e">
        <f>Divident_all!#REF!</f>
        <v>#REF!</v>
      </c>
      <c r="D6" s="291" t="e">
        <f>Divident_all!#REF!</f>
        <v>#REF!</v>
      </c>
      <c r="E6" s="292">
        <f ca="1">IFERROR(__xludf.DUMMYFUNCTION("(((H6/GOOGLEFINANCE (""Currency:USDRON""))/D6)+F6)"),0.743765416834255)</f>
        <v>0.74376541683425501</v>
      </c>
      <c r="F6" s="290" t="e">
        <f>Divident_all!#REF!</f>
        <v>#REF!</v>
      </c>
      <c r="G6" s="291">
        <f ca="1">IFERROR(__xludf.DUMMYFUNCTION("H6/GOOGLEFINANCE (""Currency:USDRON"")"),8.9005585100465)</f>
        <v>8.9005585100464994</v>
      </c>
      <c r="H6" s="293">
        <v>40</v>
      </c>
      <c r="I6" s="294" t="e">
        <f t="shared" si="3"/>
        <v>#REF!</v>
      </c>
      <c r="J6" s="291" t="e">
        <f t="shared" ca="1" si="4"/>
        <v>#REF!</v>
      </c>
      <c r="K6" s="295">
        <f ca="1">IFERROR(__xludf.DUMMYFUNCTION("(F6*C6)/100*GOOGLEFINANCE (""Currency:USDRON"")"),2.30700390057799)</f>
        <v>2.3070039005779899</v>
      </c>
      <c r="L6" s="296">
        <f ca="1">IFERROR(__xludf.DUMMYFUNCTION("(((H6/GOOGLEFINANCE (""Currency:USDRON""))/D6)*C6)/100*GOOGLEFINANCE (""Currency:USDRON"")"),0.834998889629136)</f>
        <v>0.83499888962913604</v>
      </c>
      <c r="M6" s="297">
        <f t="shared" ca="1" si="2"/>
        <v>0.36194082264877747</v>
      </c>
      <c r="N6" s="298" t="e">
        <f>Divident_all!#REF!</f>
        <v>#REF!</v>
      </c>
      <c r="O6" s="298" t="e">
        <f>Divident_all!#REF!</f>
        <v>#REF!</v>
      </c>
      <c r="P6" s="299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290" t="e">
        <f>Divident_all!#REF!</f>
        <v>#REF!</v>
      </c>
      <c r="C7" s="290" t="e">
        <f>Divident_all!#REF!</f>
        <v>#REF!</v>
      </c>
      <c r="D7" s="291" t="e">
        <f>Divident_all!#REF!</f>
        <v>#REF!</v>
      </c>
      <c r="E7" s="292">
        <f ca="1">IFERROR(__xludf.DUMMYFUNCTION("(((H7/GOOGLEFINANCE (""Currency:USDRON""))/D7)+F7)"),1.97242622997509)</f>
        <v>1.9724262299750901</v>
      </c>
      <c r="F7" s="290" t="e">
        <f>Divident_all!#REF!</f>
        <v>#REF!</v>
      </c>
      <c r="G7" s="291">
        <f ca="1">IFERROR(__xludf.DUMMYFUNCTION("H7/GOOGLEFINANCE (""Currency:USDRON"")"),7.78798869629069)</f>
        <v>7.7879886962906903</v>
      </c>
      <c r="H7" s="293">
        <v>35</v>
      </c>
      <c r="I7" s="294" t="e">
        <f t="shared" si="3"/>
        <v>#REF!</v>
      </c>
      <c r="J7" s="291" t="e">
        <f t="shared" ca="1" si="4"/>
        <v>#REF!</v>
      </c>
      <c r="K7" s="295">
        <f ca="1">IFERROR(__xludf.DUMMYFUNCTION("(F7*C7)/100*GOOGLEFINANCE (""Currency:USDRON"")"),1.39063641748199)</f>
        <v>1.3906364174819901</v>
      </c>
      <c r="L7" s="296">
        <f ca="1">IFERROR(__xludf.DUMMYFUNCTION("(((H7/GOOGLEFINANCE (""Currency:USDRON""))/D7)*C7)/100*GOOGLEFINANCE (""Currency:USDRON"")"),0.648148148148148)</f>
        <v>0.64814814814814803</v>
      </c>
      <c r="M7" s="297">
        <f t="shared" ca="1" si="2"/>
        <v>0.46608023491988126</v>
      </c>
      <c r="N7" s="298" t="e">
        <f>Divident_all!#REF!</f>
        <v>#REF!</v>
      </c>
      <c r="O7" s="298" t="e">
        <f>Divident_all!#REF!</f>
        <v>#REF!</v>
      </c>
      <c r="P7" s="299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269" t="e">
        <f>Divident_all!#REF!</f>
        <v>#REF!</v>
      </c>
      <c r="C8" s="269" t="e">
        <f>Divident_all!#REF!</f>
        <v>#REF!</v>
      </c>
      <c r="D8" s="270" t="e">
        <f>Divident_all!#REF!</f>
        <v>#REF!</v>
      </c>
      <c r="E8" s="271">
        <f ca="1">IFERROR(__xludf.DUMMYFUNCTION("(((H8/GOOGLEFINANCE (""Currency:USDRON""))/D8)+F8)"),0.256750193829404)</f>
        <v>0.25675019382940401</v>
      </c>
      <c r="F8" s="269" t="e">
        <f>Divident_all!#REF!</f>
        <v>#REF!</v>
      </c>
      <c r="G8" s="270">
        <f ca="1">IFERROR(__xludf.DUMMYFUNCTION("H8/GOOGLEFINANCE (""Currency:USDRON"")"),7.78798869629069)</f>
        <v>7.7879886962906903</v>
      </c>
      <c r="H8" s="272">
        <v>35</v>
      </c>
      <c r="I8" s="273" t="e">
        <f t="shared" si="3"/>
        <v>#REF!</v>
      </c>
      <c r="J8" s="270" t="e">
        <f t="shared" ca="1" si="4"/>
        <v>#REF!</v>
      </c>
      <c r="K8" s="319">
        <f ca="1">IFERROR(__xludf.DUMMYFUNCTION("(F8*C8)/100*GOOGLEFINANCE (""Currency:USDRON"")"),1.491230284596)</f>
        <v>1.4912302845959999</v>
      </c>
      <c r="L8" s="275">
        <f ca="1">IFERROR(__xludf.DUMMYFUNCTION("(((H8/GOOGLEFINANCE (""Currency:USDRON""))/D8)*C8)/100*GOOGLEFINANCE (""Currency:USDRON"")"),0.585719598363704)</f>
        <v>0.58571959836370402</v>
      </c>
      <c r="M8" s="488">
        <f t="shared" ca="1" si="2"/>
        <v>0.3927760885853962</v>
      </c>
      <c r="N8" s="277" t="e">
        <f>Divident_all!#REF!</f>
        <v>#REF!</v>
      </c>
      <c r="O8" s="277" t="e">
        <f>Divident_all!#REF!</f>
        <v>#REF!</v>
      </c>
      <c r="P8" s="278" t="e">
        <f>Divident_all!#REF!</f>
        <v>#REF!</v>
      </c>
      <c r="Q8" s="234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269" t="e">
        <f>Divident_all!#REF!</f>
        <v>#REF!</v>
      </c>
      <c r="C9" s="269" t="e">
        <f>Divident_all!#REF!</f>
        <v>#REF!</v>
      </c>
      <c r="D9" s="270" t="e">
        <f>Divident_all!#REF!</f>
        <v>#REF!</v>
      </c>
      <c r="E9" s="271">
        <f ca="1">IFERROR(__xludf.DUMMYFUNCTION("(((H9/GOOGLEFINANCE (""Currency:USDRON""))/D9)+F9)"),0.458849119887722)</f>
        <v>0.45884911988772198</v>
      </c>
      <c r="F9" s="269" t="e">
        <f>Divident_all!#REF!</f>
        <v>#REF!</v>
      </c>
      <c r="G9" s="270">
        <f ca="1">IFERROR(__xludf.DUMMYFUNCTION("H9/GOOGLEFINANCE (""Currency:USDRON"")"),7.78798869629069)</f>
        <v>7.7879886962906903</v>
      </c>
      <c r="H9" s="272">
        <v>35</v>
      </c>
      <c r="I9" s="273" t="e">
        <f t="shared" si="3"/>
        <v>#REF!</v>
      </c>
      <c r="J9" s="270" t="e">
        <f t="shared" ca="1" si="4"/>
        <v>#REF!</v>
      </c>
      <c r="K9" s="319">
        <f ca="1">IFERROR(__xludf.DUMMYFUNCTION("(F9*C9)/100*GOOGLEFINANCE (""Currency:USDRON"")"),0.989146736135999)</f>
        <v>0.98914673613599902</v>
      </c>
      <c r="L9" s="275">
        <f ca="1">IFERROR(__xludf.DUMMYFUNCTION("(((H9/GOOGLEFINANCE (""Currency:USDRON""))/D9)*C9)/100*GOOGLEFINANCE (""Currency:USDRON"")"),0.495575221238938)</f>
        <v>0.49557522123893799</v>
      </c>
      <c r="M9" s="488">
        <f t="shared" ca="1" si="2"/>
        <v>0.50101284585424821</v>
      </c>
      <c r="N9" s="277" t="e">
        <f>Divident_all!#REF!</f>
        <v>#REF!</v>
      </c>
      <c r="O9" s="277" t="e">
        <f>Divident_all!#REF!</f>
        <v>#REF!</v>
      </c>
      <c r="P9" s="278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269" t="e">
        <f>Divident_all!#REF!</f>
        <v>#REF!</v>
      </c>
      <c r="C10" s="269" t="e">
        <f>Divident_all!#REF!</f>
        <v>#REF!</v>
      </c>
      <c r="D10" s="270" t="e">
        <f>Divident_all!#REF!</f>
        <v>#REF!</v>
      </c>
      <c r="E10" s="271">
        <f ca="1">IFERROR(__xludf.DUMMYFUNCTION("(((H10/GOOGLEFINANCE (""Currency:USDRON""))/D10)+F10)"),0.264039113887005)</f>
        <v>0.26403911388700502</v>
      </c>
      <c r="F10" s="269" t="e">
        <f>Divident_all!#REF!</f>
        <v>#REF!</v>
      </c>
      <c r="G10" s="270">
        <f ca="1">IFERROR(__xludf.DUMMYFUNCTION("H10/GOOGLEFINANCE (""Currency:USDRON"")"),7.78798869629069)</f>
        <v>7.7879886962906903</v>
      </c>
      <c r="H10" s="272">
        <v>35</v>
      </c>
      <c r="I10" s="273" t="e">
        <f t="shared" si="3"/>
        <v>#REF!</v>
      </c>
      <c r="J10" s="270" t="e">
        <f t="shared" ca="1" si="4"/>
        <v>#REF!</v>
      </c>
      <c r="K10" s="319">
        <f ca="1">IFERROR(__xludf.DUMMYFUNCTION("(F10*C10)/100*GOOGLEFINANCE (""Currency:USDRON"")"),0.889309387839599)</f>
        <v>0.88930938783959901</v>
      </c>
      <c r="L10" s="275">
        <f ca="1">IFERROR(__xludf.DUMMYFUNCTION("(((H10/GOOGLEFINANCE (""Currency:USDRON""))/D10)*C10)/100*GOOGLEFINANCE (""Currency:USDRON"")"),0.392238248417557)</f>
        <v>0.392238248417557</v>
      </c>
      <c r="M10" s="488">
        <f t="shared" ca="1" si="2"/>
        <v>0.44105938133681699</v>
      </c>
      <c r="N10" s="277" t="e">
        <f>Divident_all!#REF!</f>
        <v>#REF!</v>
      </c>
      <c r="O10" s="277" t="e">
        <f>Divident_all!#REF!</f>
        <v>#REF!</v>
      </c>
      <c r="P10" s="278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338" t="e">
        <f>Divident_all!#REF!</f>
        <v>#REF!</v>
      </c>
      <c r="C11" s="338" t="e">
        <f>Divident_all!#REF!</f>
        <v>#REF!</v>
      </c>
      <c r="D11" s="329" t="e">
        <f>Divident_all!#REF!</f>
        <v>#REF!</v>
      </c>
      <c r="E11" s="340">
        <f ca="1">IFERROR(__xludf.DUMMYFUNCTION("(((H11/GOOGLEFINANCE (""Currency:usdRON""))/D11)+F11)"),0.334049869773909)</f>
        <v>0.33404986977390899</v>
      </c>
      <c r="F11" s="338" t="e">
        <f>Divident_all!#REF!</f>
        <v>#REF!</v>
      </c>
      <c r="G11" s="329">
        <f ca="1">IFERROR(__xludf.DUMMYFUNCTION("H11/GOOGLEFINANCE (""Currency:usdRON"")"),7.78798869629069)</f>
        <v>7.7879886962906903</v>
      </c>
      <c r="H11" s="341">
        <v>35</v>
      </c>
      <c r="I11" s="342" t="e">
        <f t="shared" si="3"/>
        <v>#REF!</v>
      </c>
      <c r="J11" s="329" t="e">
        <f t="shared" ca="1" si="4"/>
        <v>#REF!</v>
      </c>
      <c r="K11" s="502">
        <f ca="1">IFERROR(__xludf.DUMMYFUNCTION("(E11*C11)/100*GOOGLEFINANCE (""Currency:usdRON"")"),1.83152929409612)</f>
        <v>1.8315292940961201</v>
      </c>
      <c r="L11" s="334">
        <f ca="1">IFERROR(__xludf.DUMMYFUNCTION("(((H11/GOOGLEFINANCE (""Currency:USDRON""))/D11)*C11)/100*GOOGLEFINANCE (""Currency:USDRON"")"),0.376975368588328)</f>
        <v>0.37697536858832797</v>
      </c>
      <c r="M11" s="335">
        <f t="shared" ca="1" si="2"/>
        <v>0.20582546498355053</v>
      </c>
      <c r="N11" s="344" t="e">
        <f>Divident_all!#REF!</f>
        <v>#REF!</v>
      </c>
      <c r="O11" s="344" t="e">
        <f>Divident_all!#REF!</f>
        <v>#REF!</v>
      </c>
      <c r="P11" s="345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290" t="e">
        <f>Divident_all!#REF!</f>
        <v>#REF!</v>
      </c>
      <c r="C12" s="290" t="e">
        <f>Divident_all!#REF!</f>
        <v>#REF!</v>
      </c>
      <c r="D12" s="291" t="e">
        <f>Divident_all!#REF!</f>
        <v>#REF!</v>
      </c>
      <c r="E12" s="292">
        <f ca="1">IFERROR(__xludf.DUMMYFUNCTION("(((H12/GOOGLEFINANCE (""Currency:USDRON""))/D12)+F12)"),0.122321698867944)</f>
        <v>0.122321698867944</v>
      </c>
      <c r="F12" s="290" t="e">
        <f>Divident_all!#REF!</f>
        <v>#REF!</v>
      </c>
      <c r="G12" s="291">
        <f ca="1">IFERROR(__xludf.DUMMYFUNCTION("H12/GOOGLEFINANCE (""Currency:USDRON"")"),6.67541888253487)</f>
        <v>6.6754188825348697</v>
      </c>
      <c r="H12" s="293">
        <v>30</v>
      </c>
      <c r="I12" s="294" t="e">
        <f t="shared" si="3"/>
        <v>#REF!</v>
      </c>
      <c r="J12" s="291" t="e">
        <f t="shared" ca="1" si="4"/>
        <v>#REF!</v>
      </c>
      <c r="K12" s="295">
        <f ca="1">IFERROR(__xludf.DUMMYFUNCTION("(F12*C12)/100*GOOGLEFINANCE (""Currency:USDRON"")"),0.3909033703978)</f>
        <v>0.39090337039779999</v>
      </c>
      <c r="L12" s="296">
        <f ca="1">IFERROR(__xludf.DUMMYFUNCTION("(((H12/GOOGLEFINANCE (""Currency:USDRON""))/D12)*C12)/100*GOOGLEFINANCE (""Currency:USDRON"")"),0.257773246923469)</f>
        <v>0.25777324692346898</v>
      </c>
      <c r="M12" s="297">
        <f t="shared" ca="1" si="2"/>
        <v>0.65942958399449947</v>
      </c>
      <c r="N12" s="298" t="e">
        <f>Divident_all!#REF!</f>
        <v>#REF!</v>
      </c>
      <c r="O12" s="298" t="e">
        <f>Divident_all!#REF!</f>
        <v>#REF!</v>
      </c>
      <c r="P12" s="299" t="e">
        <f>Divident_all!#REF!</f>
        <v>#REF!</v>
      </c>
      <c r="Q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269" t="e">
        <f>Divident_all!#REF!</f>
        <v>#REF!</v>
      </c>
      <c r="C13" s="269" t="e">
        <f>Divident_all!#REF!</f>
        <v>#REF!</v>
      </c>
      <c r="D13" s="270" t="e">
        <f>Divident_all!#REF!</f>
        <v>#REF!</v>
      </c>
      <c r="E13" s="271">
        <f ca="1">IFERROR(__xludf.DUMMYFUNCTION("(((H13/GOOGLEFINANCE (""Currency:USDRON""))/D13)+F13)"),0.0787785463412193)</f>
        <v>7.8778546341219294E-2</v>
      </c>
      <c r="F13" s="269" t="e">
        <f>Divident_all!#REF!</f>
        <v>#REF!</v>
      </c>
      <c r="G13" s="270">
        <f ca="1">IFERROR(__xludf.DUMMYFUNCTION("H13/GOOGLEFINANCE (""Currency:USDRON"")"),6.67541888253487)</f>
        <v>6.6754188825348697</v>
      </c>
      <c r="H13" s="272">
        <v>30</v>
      </c>
      <c r="I13" s="273" t="e">
        <f t="shared" si="3"/>
        <v>#REF!</v>
      </c>
      <c r="J13" s="270" t="e">
        <f t="shared" ca="1" si="4"/>
        <v>#REF!</v>
      </c>
      <c r="K13" s="319">
        <f ca="1">IFERROR(__xludf.DUMMYFUNCTION("(F13*C13)/100*GOOGLEFINANCE (""Currency:USDRON"")"),0.326093154347999)</f>
        <v>0.32609315434799901</v>
      </c>
      <c r="L13" s="275">
        <f ca="1">IFERROR(__xludf.DUMMYFUNCTION("(((H13/GOOGLEFINANCE (""Currency:USDRON""))/D13)*C13)/100*GOOGLEFINANCE (""Currency:USDRON"")"),0.226207163226835)</f>
        <v>0.22620716322683501</v>
      </c>
      <c r="M13" s="488">
        <f t="shared" ca="1" si="2"/>
        <v>0.69368878251713317</v>
      </c>
      <c r="N13" s="277" t="e">
        <f>Divident_all!#REF!</f>
        <v>#REF!</v>
      </c>
      <c r="O13" s="277" t="e">
        <f>Divident_all!#REF!</f>
        <v>#REF!</v>
      </c>
      <c r="P13" s="278" t="e">
        <f>Divident_all!#REF!</f>
        <v>#REF!</v>
      </c>
      <c r="Q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269" t="e">
        <f>Divident_all!#REF!</f>
        <v>#REF!</v>
      </c>
      <c r="C14" s="269" t="e">
        <f>Divident_all!#REF!</f>
        <v>#REF!</v>
      </c>
      <c r="D14" s="270" t="e">
        <f>Divident_all!#REF!</f>
        <v>#REF!</v>
      </c>
      <c r="E14" s="271">
        <f ca="1">IFERROR(__xludf.DUMMYFUNCTION("(((H14/GOOGLEFINANCE (""Currency:USDRON""))/D14)+F14)"),1.98553008179956)</f>
        <v>1.98553008179956</v>
      </c>
      <c r="F14" s="269" t="e">
        <f>Divident_all!#REF!</f>
        <v>#REF!</v>
      </c>
      <c r="G14" s="270">
        <f ca="1">IFERROR(__xludf.DUMMYFUNCTION("H14/GOOGLEFINANCE (""Currency:USDRON"")"),6.67541888253487)</f>
        <v>6.6754188825348697</v>
      </c>
      <c r="H14" s="272">
        <v>30</v>
      </c>
      <c r="I14" s="273" t="e">
        <f t="shared" si="3"/>
        <v>#REF!</v>
      </c>
      <c r="J14" s="270" t="e">
        <f t="shared" ca="1" si="4"/>
        <v>#REF!</v>
      </c>
      <c r="K14" s="319">
        <f ca="1">IFERROR(__xludf.DUMMYFUNCTION("(F14*C14)/100*GOOGLEFINANCE (""Currency:USDRON"")"),2.2457488456975)</f>
        <v>2.2457488456974999</v>
      </c>
      <c r="L14" s="275">
        <f ca="1">IFERROR(__xludf.DUMMYFUNCTION("(((H14/GOOGLEFINANCE (""Currency:USDRON""))/D14)*C14)/100*GOOGLEFINANCE (""Currency:USDRON"")"),0.208123107971745)</f>
        <v>0.20812310797174499</v>
      </c>
      <c r="M14" s="488">
        <f t="shared" ca="1" si="2"/>
        <v>9.2674258018867958E-2</v>
      </c>
      <c r="N14" s="277" t="e">
        <f>Divident_all!#REF!</f>
        <v>#REF!</v>
      </c>
      <c r="O14" s="277" t="e">
        <f>Divident_all!#REF!</f>
        <v>#REF!</v>
      </c>
      <c r="P14" s="278" t="e">
        <f>Divident_all!#REF!</f>
        <v>#REF!</v>
      </c>
      <c r="Q14" s="166"/>
      <c r="R14" s="279"/>
    </row>
    <row r="15" spans="1:33" ht="12.75">
      <c r="A15" s="166"/>
      <c r="B15" s="290" t="e">
        <f>Divident_all!#REF!</f>
        <v>#REF!</v>
      </c>
      <c r="C15" s="290" t="e">
        <f>Divident_all!#REF!</f>
        <v>#REF!</v>
      </c>
      <c r="D15" s="291" t="e">
        <f>Divident_all!#REF!</f>
        <v>#REF!</v>
      </c>
      <c r="E15" s="292">
        <f ca="1">IFERROR(__xludf.DUMMYFUNCTION("(((H15/GOOGLEFINANCE (""Currency:USDRON""))/D15)+F15)"),0.452765002102059)</f>
        <v>0.452765002102059</v>
      </c>
      <c r="F15" s="290" t="e">
        <f>Divident_all!#REF!</f>
        <v>#REF!</v>
      </c>
      <c r="G15" s="291">
        <f ca="1">IFERROR(__xludf.DUMMYFUNCTION("H15/GOOGLEFINANCE (""Currency:USDRON"")"),6.67541888253487)</f>
        <v>6.6754188825348697</v>
      </c>
      <c r="H15" s="293">
        <v>30</v>
      </c>
      <c r="I15" s="294" t="e">
        <f t="shared" si="3"/>
        <v>#REF!</v>
      </c>
      <c r="J15" s="291" t="e">
        <f t="shared" ca="1" si="4"/>
        <v>#REF!</v>
      </c>
      <c r="K15" s="295">
        <f ca="1">IFERROR(__xludf.DUMMYFUNCTION("(F15*C15)/100*GOOGLEFINANCE (""Currency:USDRON"")"),0.717120840539999)</f>
        <v>0.71712084053999903</v>
      </c>
      <c r="L15" s="296">
        <f ca="1">IFERROR(__xludf.DUMMYFUNCTION("(((H15/GOOGLEFINANCE (""Currency:USDRON""))/D15)*C15)/100*GOOGLEFINANCE (""Currency:USDRON"")"),0.218873909595559)</f>
        <v>0.218873909595559</v>
      </c>
      <c r="M15" s="297">
        <f t="shared" ca="1" si="2"/>
        <v>0.30521203292703752</v>
      </c>
      <c r="N15" s="298" t="e">
        <f>Divident_all!#REF!</f>
        <v>#REF!</v>
      </c>
      <c r="O15" s="298" t="e">
        <f>Divident_all!#REF!</f>
        <v>#REF!</v>
      </c>
      <c r="P15" s="299" t="e">
        <f>Divident_all!#REF!</f>
        <v>#REF!</v>
      </c>
      <c r="Q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328" t="e">
        <f>Divident_all!#REF!</f>
        <v>#REF!</v>
      </c>
      <c r="C16" s="328" t="e">
        <f>Divident_all!#REF!</f>
        <v>#REF!</v>
      </c>
      <c r="D16" s="329" t="e">
        <f>Divident_all!#REF!</f>
        <v>#REF!</v>
      </c>
      <c r="E16" s="330">
        <f ca="1">IFERROR(__xludf.DUMMYFUNCTION("(((H16/GOOGLEFINANCE (""Currency:USDRON""))/D16)+F16)"),0.126691156422474)</f>
        <v>0.126691156422474</v>
      </c>
      <c r="F16" s="328" t="e">
        <f>Divident_all!#REF!</f>
        <v>#REF!</v>
      </c>
      <c r="G16" s="329">
        <f ca="1">IFERROR(__xludf.DUMMYFUNCTION("H16/GOOGLEFINANCE (""Currency:USDRON"")"),6.67541888253487)</f>
        <v>6.6754188825348697</v>
      </c>
      <c r="H16" s="331">
        <v>30</v>
      </c>
      <c r="I16" s="332" t="e">
        <f t="shared" si="3"/>
        <v>#REF!</v>
      </c>
      <c r="J16" s="329" t="e">
        <f t="shared" ca="1" si="4"/>
        <v>#REF!</v>
      </c>
      <c r="K16" s="333">
        <f ca="1">IFERROR(__xludf.DUMMYFUNCTION("(F16*C16)/100*GOOGLEFINANCE (""Currency:USDRON"")"),0.2162294644575)</f>
        <v>0.21622946445749999</v>
      </c>
      <c r="L16" s="334">
        <f ca="1">IFERROR(__xludf.DUMMYFUNCTION("(((H16/GOOGLEFINANCE (""Currency:USDRON""))/D16)*C16)/100*GOOGLEFINANCE (""Currency:USDRON"")"),0.21079258010118)</f>
        <v>0.21079258010117999</v>
      </c>
      <c r="M16" s="335">
        <f t="shared" ca="1" si="2"/>
        <v>0.97485595050627971</v>
      </c>
      <c r="N16" s="336" t="e">
        <f>Divident_all!#REF!</f>
        <v>#REF!</v>
      </c>
      <c r="O16" s="336" t="e">
        <f>Divident_all!#REF!</f>
        <v>#REF!</v>
      </c>
      <c r="P16" s="337" t="e">
        <f>Divident_all!#REF!</f>
        <v>#REF!</v>
      </c>
      <c r="Q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290" t="e">
        <f>Divident_all!#REF!</f>
        <v>#REF!</v>
      </c>
      <c r="C17" s="290" t="e">
        <f>Divident_all!#REF!</f>
        <v>#REF!</v>
      </c>
      <c r="D17" s="291" t="e">
        <f>Divident_all!#REF!</f>
        <v>#REF!</v>
      </c>
      <c r="E17" s="292">
        <f ca="1">IFERROR(__xludf.DUMMYFUNCTION("(((H17/GOOGLEFINANCE (""Currency:USDRON""))/D17)+F17)"),0.114897401813411)</f>
        <v>0.114897401813411</v>
      </c>
      <c r="F17" s="290" t="e">
        <f>Divident_all!#REF!</f>
        <v>#REF!</v>
      </c>
      <c r="G17" s="291">
        <f ca="1">IFERROR(__xludf.DUMMYFUNCTION("H17/GOOGLEFINANCE (""Currency:USDRON"")"),5.56284906877906)</f>
        <v>5.5628490687790597</v>
      </c>
      <c r="H17" s="293">
        <v>25</v>
      </c>
      <c r="I17" s="294" t="e">
        <f t="shared" si="3"/>
        <v>#REF!</v>
      </c>
      <c r="J17" s="291" t="e">
        <f t="shared" ca="1" si="4"/>
        <v>#REF!</v>
      </c>
      <c r="K17" s="295">
        <f ca="1">IFERROR(__xludf.DUMMYFUNCTION("(F17*C17)/100*GOOGLEFINANCE (""Currency:USDRON"")"),0.437147263917)</f>
        <v>0.43714726391699998</v>
      </c>
      <c r="L17" s="296">
        <f ca="1">IFERROR(__xludf.DUMMYFUNCTION("(((H17/GOOGLEFINANCE (""Currency:USDRON""))/D17)*C17)/100*GOOGLEFINANCE (""Currency:USDRON"")"),0.156667211596098)</f>
        <v>0.156667211596098</v>
      </c>
      <c r="M17" s="297">
        <f t="shared" ca="1" si="2"/>
        <v>0.35838543330296124</v>
      </c>
      <c r="N17" s="298" t="e">
        <f>Divident_all!#REF!</f>
        <v>#REF!</v>
      </c>
      <c r="O17" s="298" t="e">
        <f>Divident_all!#REF!</f>
        <v>#REF!</v>
      </c>
      <c r="P17" s="299" t="e">
        <f>Divident_all!#REF!</f>
        <v>#REF!</v>
      </c>
      <c r="Q17" s="166"/>
      <c r="R17" s="279"/>
    </row>
    <row r="18" spans="1:33" ht="12.75">
      <c r="A18" s="166"/>
      <c r="B18" s="280" t="e">
        <f>Divident_all!#REF!</f>
        <v>#REF!</v>
      </c>
      <c r="C18" s="280" t="e">
        <f>Divident_all!#REF!</f>
        <v>#REF!</v>
      </c>
      <c r="D18" s="281" t="e">
        <f>Divident_all!#REF!</f>
        <v>#REF!</v>
      </c>
      <c r="E18" s="282">
        <f ca="1">IFERROR(__xludf.DUMMYFUNCTION("(((H18/GOOGLEFINANCE (""Currency:USDRON""))/D18)+F18)"),0.0630060398363062)</f>
        <v>6.3006039836306205E-2</v>
      </c>
      <c r="F18" s="280" t="e">
        <f>Divident_all!#REF!</f>
        <v>#REF!</v>
      </c>
      <c r="G18" s="281">
        <f ca="1">IFERROR(__xludf.DUMMYFUNCTION("H18/GOOGLEFINANCE (""Currency:USDRON"")"),5.56284906877906)</f>
        <v>5.5628490687790597</v>
      </c>
      <c r="H18" s="283">
        <v>25</v>
      </c>
      <c r="I18" s="284" t="e">
        <f t="shared" si="3"/>
        <v>#REF!</v>
      </c>
      <c r="J18" s="281" t="e">
        <f t="shared" ca="1" si="4"/>
        <v>#REF!</v>
      </c>
      <c r="K18" s="285">
        <f ca="1">IFERROR(__xludf.DUMMYFUNCTION("(F18*C18)/100*GOOGLEFINANCE (""Currency:USDRON"")"),0.1251193168095)</f>
        <v>0.1251193168095</v>
      </c>
      <c r="L18" s="286">
        <f ca="1">IFERROR(__xludf.DUMMYFUNCTION("(((H18/GOOGLEFINANCE (""Currency:USDRON""))/D18)*C18)/100*GOOGLEFINANCE (""Currency:USDRON"")"),0.143878354637426)</f>
        <v>0.14387835463742599</v>
      </c>
      <c r="M18" s="287">
        <f t="shared" ca="1" si="2"/>
        <v>1.1499291900425535</v>
      </c>
      <c r="N18" s="288" t="e">
        <f>Divident_all!#REF!</f>
        <v>#REF!</v>
      </c>
      <c r="O18" s="288" t="e">
        <f>Divident_all!#REF!</f>
        <v>#REF!</v>
      </c>
      <c r="P18" s="289" t="e">
        <f>Divident_all!#REF!</f>
        <v>#REF!</v>
      </c>
      <c r="Q18" s="166"/>
      <c r="R18" s="279"/>
    </row>
    <row r="19" spans="1:33" ht="12.75">
      <c r="A19" s="166"/>
      <c r="B19" s="511" t="e">
        <f>Divident_all!#REF!</f>
        <v>#REF!</v>
      </c>
      <c r="C19" s="511" t="e">
        <f>Divident_all!#REF!</f>
        <v>#REF!</v>
      </c>
      <c r="D19" s="512" t="e">
        <f>Divident_all!#REF!</f>
        <v>#REF!</v>
      </c>
      <c r="E19" s="513">
        <f ca="1">IFERROR(__xludf.DUMMYFUNCTION("(((H19/GOOGLEFINANCE (""Currency:USDRON""))/D19)+F19)"),0.145350348441903)</f>
        <v>0.145350348441903</v>
      </c>
      <c r="F19" s="511" t="e">
        <f>Divident_all!#REF!</f>
        <v>#REF!</v>
      </c>
      <c r="G19" s="512">
        <f ca="1">IFERROR(__xludf.DUMMYFUNCTION("H19/GOOGLEFINANCE (""Currency:usdRON"")"),5.56284906877906)</f>
        <v>5.5628490687790597</v>
      </c>
      <c r="H19" s="514">
        <v>25</v>
      </c>
      <c r="I19" s="515" t="e">
        <f>D19/(C19)</f>
        <v>#REF!</v>
      </c>
      <c r="J19" s="512" t="e">
        <f t="shared" ca="1" si="4"/>
        <v>#REF!</v>
      </c>
      <c r="K19" s="516">
        <f ca="1">IFERROR(__xludf.DUMMYFUNCTION("(F19*C19)/100*GOOGLEFINANCE (""Currency:usdRON"")"),0.3561304604)</f>
        <v>0.35613046040000002</v>
      </c>
      <c r="L19" s="517">
        <f ca="1">IFERROR(__xludf.DUMMYFUNCTION("(((H19/GOOGLEFINANCE (""Currency:usdRON""))/D19)*C19)/100*GOOGLEFINANCE (""Currency:usdRON"")"),0.166444740346205)</f>
        <v>0.16644474034620499</v>
      </c>
      <c r="M19" s="362">
        <f t="shared" ca="1" si="2"/>
        <v>0.46737013216801765</v>
      </c>
      <c r="N19" s="518" t="e">
        <f>Divident_all!#REF!</f>
        <v>#REF!</v>
      </c>
      <c r="O19" s="518" t="e">
        <f>Divident_all!#REF!</f>
        <v>#REF!</v>
      </c>
      <c r="P19" s="519" t="e">
        <f>Divident_all!#REF!</f>
        <v>#REF!</v>
      </c>
      <c r="Q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280" t="e">
        <f>Divident_all!#REF!</f>
        <v>#REF!</v>
      </c>
      <c r="C20" s="280" t="e">
        <f>Divident_all!#REF!</f>
        <v>#REF!</v>
      </c>
      <c r="D20" s="281" t="e">
        <f>Divident_all!#REF!</f>
        <v>#REF!</v>
      </c>
      <c r="E20" s="282">
        <f ca="1">IFERROR(__xludf.DUMMYFUNCTION("(((H20/GOOGLEFINANCE (""Currency:USDRON""))/D20)+F20)"),0.107002544870852)</f>
        <v>0.10700254487085201</v>
      </c>
      <c r="F20" s="280" t="e">
        <f>Divident_all!#REF!</f>
        <v>#REF!</v>
      </c>
      <c r="G20" s="281">
        <f ca="1">IFERROR(__xludf.DUMMYFUNCTION("H20/GOOGLEFINANCE (""Currency:USDRON"")"),5.56284906877906)</f>
        <v>5.5628490687790597</v>
      </c>
      <c r="H20" s="283">
        <v>25</v>
      </c>
      <c r="I20" s="284" t="e">
        <f t="shared" ref="I20:I25" si="5">D20/C20</f>
        <v>#REF!</v>
      </c>
      <c r="J20" s="281" t="e">
        <f t="shared" ca="1" si="4"/>
        <v>#REF!</v>
      </c>
      <c r="K20" s="285">
        <f ca="1">IFERROR(__xludf.DUMMYFUNCTION("(F20*C20)/100*GOOGLEFINANCE (""Currency:USDRON"")"),0.5994408186832)</f>
        <v>0.59944081868319998</v>
      </c>
      <c r="L20" s="286">
        <f ca="1">IFERROR(__xludf.DUMMYFUNCTION("(((H20/GOOGLEFINANCE (""Currency:USDRON""))/D20)*C20)/100*GOOGLEFINANCE (""Currency:USDRON"")"),0.131496989411031)</f>
        <v>0.131496989411031</v>
      </c>
      <c r="M20" s="287">
        <f t="shared" ca="1" si="2"/>
        <v>0.21936609138478802</v>
      </c>
      <c r="N20" s="288" t="e">
        <f>Divident_all!#REF!</f>
        <v>#REF!</v>
      </c>
      <c r="O20" s="288" t="e">
        <f>Divident_all!#REF!</f>
        <v>#REF!</v>
      </c>
      <c r="P20" s="289" t="e">
        <f>Divident_all!#REF!</f>
        <v>#REF!</v>
      </c>
      <c r="Q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355" t="e">
        <f>Divident_all!#REF!</f>
        <v>#REF!</v>
      </c>
      <c r="C21" s="355" t="e">
        <f>Divident_all!#REF!</f>
        <v>#REF!</v>
      </c>
      <c r="D21" s="356" t="e">
        <f>Divident_all!#REF!</f>
        <v>#REF!</v>
      </c>
      <c r="E21" s="357">
        <f ca="1">IFERROR(__xludf.DUMMYFUNCTION("(((H21/GOOGLEFINANCE (""Currency:USDRON""))/D21)+F21)"),0.216957312557606)</f>
        <v>0.216957312557606</v>
      </c>
      <c r="F21" s="355" t="e">
        <f>Divident_all!#REF!</f>
        <v>#REF!</v>
      </c>
      <c r="G21" s="356">
        <f ca="1">IFERROR(__xludf.DUMMYFUNCTION("H21/GOOGLEFINANCE (""Currency:usdRON"")"),4.45027925502325)</f>
        <v>4.4502792550232497</v>
      </c>
      <c r="H21" s="358">
        <v>20</v>
      </c>
      <c r="I21" s="359" t="e">
        <f t="shared" si="5"/>
        <v>#REF!</v>
      </c>
      <c r="J21" s="356" t="e">
        <f t="shared" ca="1" si="4"/>
        <v>#REF!</v>
      </c>
      <c r="K21" s="360">
        <f ca="1">IFERROR(__xludf.DUMMYFUNCTION("(F21*C21)/100*GOOGLEFINANCE (""Currency:usdRON"")"),0.33957814541508)</f>
        <v>0.33957814541508002</v>
      </c>
      <c r="L21" s="361">
        <f ca="1">IFERROR(__xludf.DUMMYFUNCTION("(((H21/GOOGLEFINANCE (""Currency:usdRON""))/D21)*C21)/100*GOOGLEFINANCE (""Currency:usdRON"")"),0.104449541284403)</f>
        <v>0.10444954128440299</v>
      </c>
      <c r="M21" s="521">
        <f t="shared" ca="1" si="2"/>
        <v>0.30758617035477981</v>
      </c>
      <c r="N21" s="363" t="e">
        <f>Divident_all!#REF!</f>
        <v>#REF!</v>
      </c>
      <c r="O21" s="363" t="e">
        <f>Divident_all!#REF!</f>
        <v>#REF!</v>
      </c>
      <c r="P21" s="364" t="e">
        <f>Divident_all!#REF!</f>
        <v>#REF!</v>
      </c>
      <c r="Q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00" t="e">
        <f>Divident_all!#REF!</f>
        <v>#REF!</v>
      </c>
      <c r="C22" s="300" t="e">
        <f>Divident_all!#REF!</f>
        <v>#REF!</v>
      </c>
      <c r="D22" s="504" t="e">
        <f>Divident_all!#REF!</f>
        <v>#REF!</v>
      </c>
      <c r="E22" s="302">
        <f ca="1">IFERROR(__xludf.DUMMYFUNCTION("(((H22/GOOGLEFINANCE (""Currency:usdRON""))/D22)+F22)"),0.525353293626988)</f>
        <v>0.52535329362698802</v>
      </c>
      <c r="F22" s="300" t="e">
        <f>Divident_all!#REF!</f>
        <v>#REF!</v>
      </c>
      <c r="G22" s="504">
        <f ca="1">IFERROR(__xludf.DUMMYFUNCTION("H22/GOOGLEFINANCE (""Currency:usdRON"")"),4.45027925502325)</f>
        <v>4.4502792550232497</v>
      </c>
      <c r="H22" s="303">
        <v>20</v>
      </c>
      <c r="I22" s="304" t="e">
        <f t="shared" si="5"/>
        <v>#REF!</v>
      </c>
      <c r="J22" s="504" t="e">
        <f t="shared" ca="1" si="4"/>
        <v>#REF!</v>
      </c>
      <c r="K22" s="305">
        <f ca="1">IFERROR(__xludf.DUMMYFUNCTION("(F22*C22)/100*GOOGLEFINANCE (""Currency:usdRON"")"),0.400384761919999)</f>
        <v>0.400384761919999</v>
      </c>
      <c r="L22" s="507">
        <f ca="1">IFERROR(__xludf.DUMMYFUNCTION("(((H22/GOOGLEFINANCE (""Currency:USDRON""))/D22)*C22)/100*GOOGLEFINANCE (""Currency:USDRON"")"),0.0718132854578097)</f>
        <v>7.1813285457809697E-2</v>
      </c>
      <c r="M22" s="307">
        <f t="shared" ca="1" si="2"/>
        <v>0.17936068573998012</v>
      </c>
      <c r="N22" s="308" t="e">
        <f>Divident_all!#REF!</f>
        <v>#REF!</v>
      </c>
      <c r="O22" s="308" t="e">
        <f>Divident_all!#REF!</f>
        <v>#REF!</v>
      </c>
      <c r="P22" s="309" t="e">
        <f>Divident_all!#REF!</f>
        <v>#REF!</v>
      </c>
      <c r="Q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269" t="e">
        <f>Divident_all!#REF!</f>
        <v>#REF!</v>
      </c>
      <c r="C23" s="269" t="e">
        <f>Divident_all!#REF!</f>
        <v>#REF!</v>
      </c>
      <c r="D23" s="270" t="e">
        <f>Divident_all!#REF!</f>
        <v>#REF!</v>
      </c>
      <c r="E23" s="271">
        <f ca="1">IFERROR(__xludf.DUMMYFUNCTION("(((H23/GOOGLEFINANCE (""Currency:USDRON""))/D23)+F23)"),0.84077951645587)</f>
        <v>0.84077951645587001</v>
      </c>
      <c r="F23" s="269" t="e">
        <f>Divident_all!#REF!</f>
        <v>#REF!</v>
      </c>
      <c r="G23" s="270">
        <f ca="1">IFERROR(__xludf.DUMMYFUNCTION("H23/GOOGLEFINANCE (""Currency:USDRON"")"),4.45027925502325)</f>
        <v>4.4502792550232497</v>
      </c>
      <c r="H23" s="272">
        <v>20</v>
      </c>
      <c r="I23" s="273" t="e">
        <f t="shared" si="5"/>
        <v>#REF!</v>
      </c>
      <c r="J23" s="270" t="e">
        <f t="shared" ca="1" si="4"/>
        <v>#REF!</v>
      </c>
      <c r="K23" s="319">
        <f ca="1">IFERROR(__xludf.DUMMYFUNCTION("(F23*C23)/100*GOOGLEFINANCE (""Currency:USDRON"")"),0.879606554033999)</f>
        <v>0.87960655403399901</v>
      </c>
      <c r="L23" s="275">
        <f ca="1">IFERROR(__xludf.DUMMYFUNCTION("(((H23/GOOGLEFINANCE (""Currency:USDRON""))/D23)*C23)/100*GOOGLEFINANCE (""Currency:USDRON"")"),0.0839229883166035)</f>
        <v>8.3922988316603497E-2</v>
      </c>
      <c r="M23" s="488">
        <f t="shared" ca="1" si="2"/>
        <v>9.5409689629665562E-2</v>
      </c>
      <c r="N23" s="277" t="e">
        <f>Divident_all!#REF!</f>
        <v>#REF!</v>
      </c>
      <c r="O23" s="277" t="e">
        <f>Divident_all!#REF!</f>
        <v>#REF!</v>
      </c>
      <c r="P23" s="278" t="e">
        <f>Divident_all!#REF!</f>
        <v>#REF!</v>
      </c>
      <c r="Q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166"/>
      <c r="B24" s="407" t="e">
        <f>Divident_all!#REF!</f>
        <v>#REF!</v>
      </c>
      <c r="C24" s="407" t="e">
        <f>Divident_all!#REF!</f>
        <v>#REF!</v>
      </c>
      <c r="D24" s="408" t="e">
        <f>Divident_all!#REF!</f>
        <v>#REF!</v>
      </c>
      <c r="E24" s="409">
        <f ca="1">IFERROR(__xludf.DUMMYFUNCTION("(((H24/GOOGLEFINANCE (""Currency:USDRON""))/D24)+F24)"),0.126070649221299)</f>
        <v>0.12607064922129901</v>
      </c>
      <c r="F24" s="407" t="e">
        <f>Divident_all!#REF!</f>
        <v>#REF!</v>
      </c>
      <c r="G24" s="408">
        <f ca="1">IFERROR(__xludf.DUMMYFUNCTION("H24/GOOGLEFINANCE (""Currency:USDRON"")"),4.45027925502325)</f>
        <v>4.4502792550232497</v>
      </c>
      <c r="H24" s="410">
        <v>20</v>
      </c>
      <c r="I24" s="411" t="e">
        <f t="shared" si="5"/>
        <v>#REF!</v>
      </c>
      <c r="J24" s="408" t="e">
        <f t="shared" ca="1" si="4"/>
        <v>#REF!</v>
      </c>
      <c r="K24" s="500">
        <f ca="1">IFERROR(__xludf.DUMMYFUNCTION("(F24*C24)/100*GOOGLEFINANCE (""Currency:USDRON"")"),0.217417113523349)</f>
        <v>0.217417113523349</v>
      </c>
      <c r="L24" s="413">
        <f ca="1">IFERROR(__xludf.DUMMYFUNCTION("(((H24/GOOGLEFINANCE (""Currency:USDRON""))/D24)*C24)/100*GOOGLEFINANCE (""Currency:USDRON"")"),0.0687028093326984)</f>
        <v>6.87028093326984E-2</v>
      </c>
      <c r="M24" s="414">
        <f t="shared" ca="1" si="2"/>
        <v>0.31599540725813297</v>
      </c>
      <c r="N24" s="415" t="e">
        <f>Divident_all!#REF!</f>
        <v>#REF!</v>
      </c>
      <c r="O24" s="415" t="e">
        <f>Divident_all!#REF!</f>
        <v>#REF!</v>
      </c>
      <c r="P24" s="416" t="e">
        <f>Divident_all!#REF!</f>
        <v>#REF!</v>
      </c>
      <c r="Q24" s="166"/>
      <c r="R24" s="279"/>
    </row>
    <row r="25" spans="1:33" ht="12.75">
      <c r="A25" s="166"/>
      <c r="B25" s="290" t="e">
        <f>Divident_all!#REF!</f>
        <v>#REF!</v>
      </c>
      <c r="C25" s="290" t="e">
        <f>Divident_all!#REF!</f>
        <v>#REF!</v>
      </c>
      <c r="D25" s="291" t="e">
        <f>Divident_all!#REF!</f>
        <v>#REF!</v>
      </c>
      <c r="E25" s="292">
        <f ca="1">IFERROR(__xludf.DUMMYFUNCTION("(((H25/GOOGLEFINANCE (""Currency:USDRON""))/D25)+F25)"),0.0549889947010875)</f>
        <v>5.49889947010875E-2</v>
      </c>
      <c r="F25" s="290" t="e">
        <f>Divident_all!#REF!</f>
        <v>#REF!</v>
      </c>
      <c r="G25" s="291">
        <f ca="1">IFERROR(__xludf.DUMMYFUNCTION("H25/GOOGLEFINANCE (""Currency:USDRON"")"),4.45027925502325)</f>
        <v>4.4502792550232497</v>
      </c>
      <c r="H25" s="293">
        <v>20</v>
      </c>
      <c r="I25" s="294" t="e">
        <f t="shared" si="5"/>
        <v>#REF!</v>
      </c>
      <c r="J25" s="291" t="e">
        <f t="shared" ca="1" si="4"/>
        <v>#REF!</v>
      </c>
      <c r="K25" s="295">
        <f ca="1">IFERROR(__xludf.DUMMYFUNCTION("(F25*C25)/100*GOOGLEFINANCE (""Currency:USDRON"")"),0.111136729103399)</f>
        <v>0.111136729103399</v>
      </c>
      <c r="L25" s="296">
        <f ca="1">IFERROR(__xludf.DUMMYFUNCTION("(((H25/GOOGLEFINANCE (""Currency:USDRON""))/D25)*C25)/100*GOOGLEFINANCE (""Currency:USDRON"")"),0.051966458013464)</f>
        <v>5.1966458013464001E-2</v>
      </c>
      <c r="M25" s="297">
        <f t="shared" ca="1" si="2"/>
        <v>0.46759031359574771</v>
      </c>
      <c r="N25" s="298" t="e">
        <f>Divident_all!#REF!</f>
        <v>#REF!</v>
      </c>
      <c r="O25" s="298" t="e">
        <f>Divident_all!#REF!</f>
        <v>#REF!</v>
      </c>
      <c r="P25" s="299" t="e">
        <f>Divident_all!#REF!</f>
        <v>#REF!</v>
      </c>
      <c r="Q25" s="166"/>
      <c r="R25" s="2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G24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0</v>
      </c>
      <c r="L2" s="264">
        <f ca="1">((L4*4)*100)/(500+K2)</f>
        <v>4.7097304824231179</v>
      </c>
      <c r="M2" s="12">
        <v>20</v>
      </c>
      <c r="N2" s="12"/>
      <c r="O2" s="12"/>
      <c r="P2" s="12"/>
    </row>
    <row r="3" spans="1:33" ht="15.75" customHeight="1">
      <c r="A3" s="265" t="s">
        <v>28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AVERAGE(C5:C24)</f>
        <v>#REF!</v>
      </c>
      <c r="D4" s="118" t="e">
        <f t="shared" si="0"/>
        <v>#REF!</v>
      </c>
      <c r="E4" s="267">
        <f t="shared" ca="1" si="0"/>
        <v>0.58935528522178582</v>
      </c>
      <c r="F4" s="116"/>
      <c r="G4" s="247">
        <f ca="1">SUM(G5:G24)</f>
        <v>115.70726063060444</v>
      </c>
      <c r="H4" s="116">
        <f>500+K2+M2-SUM(H5:H24)</f>
        <v>0</v>
      </c>
      <c r="I4" s="118"/>
      <c r="J4" s="118" t="e">
        <f t="shared" ref="J4:L4" ca="1" si="1">SUM(J5:J24)</f>
        <v>#REF!</v>
      </c>
      <c r="K4" s="123">
        <f t="shared" ca="1" si="1"/>
        <v>20.58545954895769</v>
      </c>
      <c r="L4" s="123">
        <f t="shared" ca="1" si="1"/>
        <v>5.8871631030288976</v>
      </c>
      <c r="M4" s="117">
        <f t="shared" ref="M4:M24" ca="1" si="2">L4/K4</f>
        <v>0.28598647938986543</v>
      </c>
      <c r="N4" s="125"/>
      <c r="O4" s="125"/>
      <c r="P4" s="126"/>
    </row>
    <row r="5" spans="1:33" ht="12.75">
      <c r="A5" s="522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(""Currency:USDRON""))/D5)+F5)"),2.7506444083731)</f>
        <v>2.7506444083731001</v>
      </c>
      <c r="F5" s="269" t="e">
        <f>Divident_all!#REF!</f>
        <v>#REF!</v>
      </c>
      <c r="G5" s="270">
        <f ca="1">IFERROR(__xludf.DUMMYFUNCTION("H5/GOOGLEFINANCE (""Currency:USDRON"")"),7.78798869629069)</f>
        <v>7.7879886962906903</v>
      </c>
      <c r="H5" s="272">
        <v>35</v>
      </c>
      <c r="I5" s="273" t="e">
        <f>D5/C5</f>
        <v>#REF!</v>
      </c>
      <c r="J5" s="270" t="e">
        <f t="shared" ref="J5:J24" ca="1" si="3">((E5*C5)/100)</f>
        <v>#REF!</v>
      </c>
      <c r="K5" s="319">
        <f ca="1">IFERROR(__xludf.DUMMYFUNCTION("(F5*C5)/100*GOOGLEFINANCE (""Currency:USDRON"")"),3.72727710991999)</f>
        <v>3.72727710991999</v>
      </c>
      <c r="L5" s="275">
        <f ca="1">IFERROR(__xludf.DUMMYFUNCTION("(((H5/GOOGLEFINANCE (""Currency:USDRON""))/D5)*C5)/100*GOOGLEFINANCE (""Currency:USDRON"")"),1.21739130434782)</f>
        <v>1.2173913043478199</v>
      </c>
      <c r="M5" s="276">
        <f t="shared" ca="1" si="2"/>
        <v>0.32661679516872644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523"/>
      <c r="B6" s="310" t="e">
        <f>Divident_all!#REF!</f>
        <v>#REF!</v>
      </c>
      <c r="C6" s="310" t="e">
        <f>Divident_all!#REF!</f>
        <v>#REF!</v>
      </c>
      <c r="D6" s="311" t="e">
        <f>Divident_all!#REF!</f>
        <v>#REF!</v>
      </c>
      <c r="E6" s="312">
        <f ca="1">IFERROR(__xludf.DUMMYFUNCTION("(((H6/GOOGLEFINANCE (""Currency:USDRON""))/D6)+F6)"),2.01359692876616)</f>
        <v>2.0135969287661601</v>
      </c>
      <c r="F6" s="310" t="e">
        <f>Divident_all!#REF!</f>
        <v>#REF!</v>
      </c>
      <c r="G6" s="311">
        <f ca="1">IFERROR(__xludf.DUMMYFUNCTION("H6/GOOGLEFINANCE (""Currency:usdRON"")"),7.78798869629069)</f>
        <v>7.7879886962906903</v>
      </c>
      <c r="H6" s="313">
        <v>35</v>
      </c>
      <c r="I6" s="314" t="e">
        <f>D6/(C6*3)</f>
        <v>#REF!</v>
      </c>
      <c r="J6" s="311" t="e">
        <f t="shared" ca="1" si="3"/>
        <v>#REF!</v>
      </c>
      <c r="K6" s="315">
        <f ca="1">IFERROR(__xludf.DUMMYFUNCTION("(F6*C6)/100*GOOGLEFINANCE (""Currency:usdRON"")"),2.2457488456975)</f>
        <v>2.2457488456974999</v>
      </c>
      <c r="L6" s="316">
        <f ca="1">IFERROR(__xludf.DUMMYFUNCTION("(((H6/GOOGLEFINANCE (""Currency:usdRON""))/D6)*C6)/100*GOOGLEFINANCE (""Currency:usdRON"")"),0.242810292633703)</f>
        <v>0.24281029263370299</v>
      </c>
      <c r="M6" s="276">
        <f t="shared" ca="1" si="2"/>
        <v>0.10811996768867951</v>
      </c>
      <c r="N6" s="317" t="e">
        <f>Divident_all!#REF!</f>
        <v>#REF!</v>
      </c>
      <c r="O6" s="317" t="e">
        <f>Divident_all!#REF!</f>
        <v>#REF!</v>
      </c>
      <c r="P6" s="318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522"/>
      <c r="B7" s="290" t="e">
        <f>Divident_all!#REF!</f>
        <v>#REF!</v>
      </c>
      <c r="C7" s="290" t="e">
        <f>Divident_all!#REF!</f>
        <v>#REF!</v>
      </c>
      <c r="D7" s="291" t="e">
        <f>Divident_all!#REF!</f>
        <v>#REF!</v>
      </c>
      <c r="E7" s="292">
        <f ca="1">IFERROR(__xludf.DUMMYFUNCTION("(((H7/GOOGLEFINANCE (""Currency:USDRON""))/D7)+F7)"),0.726154551755916)</f>
        <v>0.72615455175591603</v>
      </c>
      <c r="F7" s="290" t="e">
        <f>Divident_all!#REF!</f>
        <v>#REF!</v>
      </c>
      <c r="G7" s="291">
        <f ca="1">IFERROR(__xludf.DUMMYFUNCTION("H7/GOOGLEFINANCE (""Currency:USDRON"")"),7.78798869629069)</f>
        <v>7.7879886962906903</v>
      </c>
      <c r="H7" s="293">
        <v>35</v>
      </c>
      <c r="I7" s="294" t="e">
        <f t="shared" ref="I7:I10" si="4">D7/C7</f>
        <v>#REF!</v>
      </c>
      <c r="J7" s="291" t="e">
        <f t="shared" ca="1" si="3"/>
        <v>#REF!</v>
      </c>
      <c r="K7" s="295">
        <f ca="1">IFERROR(__xludf.DUMMYFUNCTION("(F7*C7)/100*GOOGLEFINANCE (""Currency:USDRON"")"),1.60178016513319)</f>
        <v>1.60178016513319</v>
      </c>
      <c r="L7" s="296">
        <f ca="1">IFERROR(__xludf.DUMMYFUNCTION("(((H7/GOOGLEFINANCE (""Currency:USDRON""))/D7)*C7)/100*GOOGLEFINANCE (""Currency:USDRON"")"),0.702188121625461)</f>
        <v>0.70218812162546096</v>
      </c>
      <c r="M7" s="297">
        <f t="shared" ca="1" si="2"/>
        <v>0.43837983320705759</v>
      </c>
      <c r="N7" s="298" t="e">
        <f>Divident_all!#REF!</f>
        <v>#REF!</v>
      </c>
      <c r="O7" s="298" t="e">
        <f>Divident_all!#REF!</f>
        <v>#REF!</v>
      </c>
      <c r="P7" s="299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522"/>
      <c r="B8" s="461" t="e">
        <f>Divident_all!#REF!</f>
        <v>#REF!</v>
      </c>
      <c r="C8" s="461" t="e">
        <f>Divident_all!#REF!</f>
        <v>#REF!</v>
      </c>
      <c r="D8" s="462" t="e">
        <f>Divident_all!#REF!</f>
        <v>#REF!</v>
      </c>
      <c r="E8" s="463">
        <f ca="1">IFERROR(__xludf.DUMMYFUNCTION("(((H8/GOOGLEFINANCE (""Currency:USDRON""))/D8)+F8)"),0.698138459014148)</f>
        <v>0.69813845901414795</v>
      </c>
      <c r="F8" s="461" t="e">
        <f>Divident_all!#REF!</f>
        <v>#REF!</v>
      </c>
      <c r="G8" s="462">
        <f ca="1">IFERROR(__xludf.DUMMYFUNCTION("H8/GOOGLEFINANCE (""Currency:USDRON"")"),6.67541888253487)</f>
        <v>6.6754188825348697</v>
      </c>
      <c r="H8" s="464">
        <v>30</v>
      </c>
      <c r="I8" s="465" t="e">
        <f t="shared" si="4"/>
        <v>#REF!</v>
      </c>
      <c r="J8" s="462" t="e">
        <f t="shared" ca="1" si="3"/>
        <v>#REF!</v>
      </c>
      <c r="K8" s="466">
        <f ca="1">IFERROR(__xludf.DUMMYFUNCTION("(F8*C8)/100*GOOGLEFINANCE (""Currency:USDRON"")"),1.54811379358349)</f>
        <v>1.5481137935834901</v>
      </c>
      <c r="L8" s="467">
        <f ca="1">IFERROR(__xludf.DUMMYFUNCTION("(((H8/GOOGLEFINANCE (""Currency:USDRON""))/D8)*C8)/100*GOOGLEFINANCE (""Currency:USDRON"")"),0.499107598164201)</f>
        <v>0.49910759816420103</v>
      </c>
      <c r="M8" s="468">
        <f t="shared" ca="1" si="2"/>
        <v>0.32239722960473965</v>
      </c>
      <c r="N8" s="469" t="e">
        <f>Divident_all!#REF!</f>
        <v>#REF!</v>
      </c>
      <c r="O8" s="469" t="e">
        <f>Divident_all!#REF!</f>
        <v>#REF!</v>
      </c>
      <c r="P8" s="470" t="e">
        <f>Divident_all!#REF!</f>
        <v>#REF!</v>
      </c>
      <c r="Q8" s="234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522"/>
      <c r="B9" s="471" t="e">
        <f>Divident_all!#REF!</f>
        <v>#REF!</v>
      </c>
      <c r="C9" s="471" t="e">
        <f>Divident_all!#REF!</f>
        <v>#REF!</v>
      </c>
      <c r="D9" s="472" t="e">
        <f>Divident_all!#REF!</f>
        <v>#REF!</v>
      </c>
      <c r="E9" s="473">
        <f ca="1">IFERROR(__xludf.DUMMYFUNCTION("(((H9/GOOGLEFINANCE (""Currency:USDRON""))/D9)+F9)"),1.35955924548594)</f>
        <v>1.35955924548594</v>
      </c>
      <c r="F9" s="471" t="e">
        <f>Divident_all!#REF!</f>
        <v>#REF!</v>
      </c>
      <c r="G9" s="472">
        <f ca="1">IFERROR(__xludf.DUMMYFUNCTION("H9/GOOGLEFINANCE (""Currency:USDRON"")"),6.67541888253487)</f>
        <v>6.6754188825348697</v>
      </c>
      <c r="H9" s="464">
        <v>30</v>
      </c>
      <c r="I9" s="474" t="e">
        <f t="shared" si="4"/>
        <v>#REF!</v>
      </c>
      <c r="J9" s="472" t="e">
        <f t="shared" ca="1" si="3"/>
        <v>#REF!</v>
      </c>
      <c r="K9" s="475">
        <f ca="1">IFERROR(__xludf.DUMMYFUNCTION("(E9*C9)/100*GOOGLEFINANCE (""Currency:usdRON"")"),1.6955236694259)</f>
        <v>1.6955236694258999</v>
      </c>
      <c r="L9" s="476">
        <f ca="1">IFERROR(__xludf.DUMMYFUNCTION("(((H9/GOOGLEFINANCE (""Currency:usdRON""))/D9)*C9)/100*GOOGLEFINANCE (""Currency:usdRON"")"),0.417711991971901)</f>
        <v>0.41771199197190101</v>
      </c>
      <c r="M9" s="468">
        <f t="shared" ca="1" si="2"/>
        <v>0.24636164006683389</v>
      </c>
      <c r="N9" s="477" t="e">
        <f>Divident_all!#REF!</f>
        <v>#REF!</v>
      </c>
      <c r="O9" s="477" t="e">
        <f>Divident_all!#REF!</f>
        <v>#REF!</v>
      </c>
      <c r="P9" s="478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522"/>
      <c r="B10" s="290" t="e">
        <f>Divident_all!#REF!</f>
        <v>#REF!</v>
      </c>
      <c r="C10" s="290" t="e">
        <f>Divident_all!#REF!</f>
        <v>#REF!</v>
      </c>
      <c r="D10" s="291" t="e">
        <f>Divident_all!#REF!</f>
        <v>#REF!</v>
      </c>
      <c r="E10" s="292">
        <f ca="1">IFERROR(__xludf.DUMMYFUNCTION("(((H10/GOOGLEFINANCE (""Currency:USDRON""))/D10)+F10)"),0.249790125075742)</f>
        <v>0.249790125075742</v>
      </c>
      <c r="F10" s="290" t="e">
        <f>Divident_all!#REF!</f>
        <v>#REF!</v>
      </c>
      <c r="G10" s="291">
        <f ca="1">IFERROR(__xludf.DUMMYFUNCTION("H10/GOOGLEFINANCE (""Currency:USDRON"")"),6.67541888253487)</f>
        <v>6.6754188825348697</v>
      </c>
      <c r="H10" s="293">
        <v>30</v>
      </c>
      <c r="I10" s="294" t="e">
        <f t="shared" si="4"/>
        <v>#REF!</v>
      </c>
      <c r="J10" s="291" t="e">
        <f t="shared" ca="1" si="3"/>
        <v>#REF!</v>
      </c>
      <c r="K10" s="295">
        <f ca="1">IFERROR(__xludf.DUMMYFUNCTION("(F10*C10)/100*GOOGLEFINANCE (""Currency:USDRON"")"),1.04268733130899)</f>
        <v>1.0426873313089899</v>
      </c>
      <c r="L10" s="296">
        <f ca="1">IFERROR(__xludf.DUMMYFUNCTION("(((H10/GOOGLEFINANCE (""Currency:USDRON""))/D10)*C10)/100*GOOGLEFINANCE (""Currency:USDRON"")"),0.382991556091676)</f>
        <v>0.38299155609167601</v>
      </c>
      <c r="M10" s="297">
        <f t="shared" ca="1" si="2"/>
        <v>0.3673119875839177</v>
      </c>
      <c r="N10" s="298" t="e">
        <f>Divident_all!#REF!</f>
        <v>#REF!</v>
      </c>
      <c r="O10" s="298" t="e">
        <f>Divident_all!#REF!</f>
        <v>#REF!</v>
      </c>
      <c r="P10" s="299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522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(""Currency:USDRON""))/D11)+F11)"),0.716637989246236)</f>
        <v>0.71663798924623601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>D11/(C11)</f>
        <v>#REF!</v>
      </c>
      <c r="J11" s="270" t="e">
        <f t="shared" ca="1" si="3"/>
        <v>#REF!</v>
      </c>
      <c r="K11" s="319">
        <f ca="1">IFERROR(__xludf.DUMMYFUNCTION("(F11*C11)/100*GOOGLEFINANCE (""Currency:USDRON"")"),1.383483293335)</f>
        <v>1.3834832933350001</v>
      </c>
      <c r="L11" s="275">
        <f ca="1">IFERROR(__xludf.DUMMYFUNCTION("(((H11/GOOGLEFINANCE (""Currency:USDRON""))/D11)*C11)/100*GOOGLEFINANCE (""Currency:USDRON"")"),0.38787023977433)</f>
        <v>0.38787023977432999</v>
      </c>
      <c r="M11" s="276">
        <f t="shared" ca="1" si="2"/>
        <v>0.28035773300835237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522"/>
      <c r="B12" s="269" t="e">
        <f>Divident_all!#REF!</f>
        <v>#REF!</v>
      </c>
      <c r="C12" s="269" t="e">
        <f>Divident_all!#REF!</f>
        <v>#REF!</v>
      </c>
      <c r="D12" s="270" t="e">
        <f>Divident_all!#REF!</f>
        <v>#REF!</v>
      </c>
      <c r="E12" s="271">
        <f ca="1">IFERROR(__xludf.DUMMYFUNCTION("(((H12/GOOGLEFINANCE (""Currency:USDRON""))/D12)+F12)"),0.877395274683805)</f>
        <v>0.87739527468380496</v>
      </c>
      <c r="F12" s="269" t="e">
        <f>Divident_all!#REF!</f>
        <v>#REF!</v>
      </c>
      <c r="G12" s="270">
        <f ca="1">IFERROR(__xludf.DUMMYFUNCTION("H12/GOOGLEFINANCE (""Currency:USDRON"")"),6.67541888253487)</f>
        <v>6.6754188825348697</v>
      </c>
      <c r="H12" s="272">
        <v>30</v>
      </c>
      <c r="I12" s="273" t="e">
        <f>D12/(C12*3)</f>
        <v>#REF!</v>
      </c>
      <c r="J12" s="270" t="e">
        <f t="shared" ca="1" si="3"/>
        <v>#REF!</v>
      </c>
      <c r="K12" s="319">
        <f ca="1">IFERROR(__xludf.DUMMYFUNCTION("(F12*C12)/100*GOOGLEFINANCE (""Currency:USDRON"")"),0.879606554033999)</f>
        <v>0.87960655403399901</v>
      </c>
      <c r="L12" s="275">
        <f ca="1">IFERROR(__xludf.DUMMYFUNCTION("(((H12/GOOGLEFINANCE (""Currency:USDRON""))/D12)*C12)/100*GOOGLEFINANCE (""Currency:USDRON"")"),0.125884482474905)</f>
        <v>0.125884482474905</v>
      </c>
      <c r="M12" s="276">
        <f t="shared" ca="1" si="2"/>
        <v>0.14311453444449806</v>
      </c>
      <c r="N12" s="277" t="e">
        <f>Divident_all!#REF!</f>
        <v>#REF!</v>
      </c>
      <c r="O12" s="277" t="e">
        <f>Divident_all!#REF!</f>
        <v>#REF!</v>
      </c>
      <c r="P12" s="278" t="e">
        <f>Divident_all!#REF!</f>
        <v>#REF!</v>
      </c>
      <c r="Q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522"/>
      <c r="B13" s="380" t="e">
        <f>Divident_all!#REF!</f>
        <v>#REF!</v>
      </c>
      <c r="C13" s="380" t="e">
        <f>Divident_all!#REF!</f>
        <v>#REF!</v>
      </c>
      <c r="D13" s="381" t="e">
        <f>Divident_all!#REF!</f>
        <v>#REF!</v>
      </c>
      <c r="E13" s="382">
        <f ca="1">IFERROR(__xludf.DUMMYFUNCTION("(((H13/GOOGLEFINANCE (""Currency:USDRON""))/D13)+F13)"),0.288478087872292)</f>
        <v>0.28847808787229201</v>
      </c>
      <c r="F13" s="380" t="e">
        <f>Divident_all!#REF!</f>
        <v>#REF!</v>
      </c>
      <c r="G13" s="381">
        <f ca="1">IFERROR(__xludf.DUMMYFUNCTION("H13/GOOGLEFINANCE (""Currency:USDRON"")"),6.67541888253487)</f>
        <v>6.6754188825348697</v>
      </c>
      <c r="H13" s="94">
        <v>30</v>
      </c>
      <c r="I13" s="383" t="e">
        <f t="shared" ref="I13:I24" si="5">D13/C13</f>
        <v>#REF!</v>
      </c>
      <c r="J13" s="381" t="e">
        <f t="shared" ca="1" si="3"/>
        <v>#REF!</v>
      </c>
      <c r="K13" s="384">
        <f ca="1">IFERROR(__xludf.DUMMYFUNCTION("(F13*C13)/100*GOOGLEFINANCE (""Currency:USDRON"")"),0.64716618552625)</f>
        <v>0.64716618552625005</v>
      </c>
      <c r="L13" s="385">
        <f ca="1">IFERROR(__xludf.DUMMYFUNCTION("(((H13/GOOGLEFINANCE (""Currency:USDRON""))/D13)*C13)/100*GOOGLEFINANCE (""Currency:USDRON"")"),0.308965228320067)</f>
        <v>0.30896522832006701</v>
      </c>
      <c r="M13" s="479">
        <f t="shared" ca="1" si="2"/>
        <v>0.47741250273888869</v>
      </c>
      <c r="N13" s="387" t="e">
        <f>Divident_all!#REF!</f>
        <v>#REF!</v>
      </c>
      <c r="O13" s="387" t="e">
        <f>Divident_all!#REF!</f>
        <v>#REF!</v>
      </c>
      <c r="P13" s="388" t="e">
        <f>Divident_all!#REF!</f>
        <v>#REF!</v>
      </c>
      <c r="Q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522"/>
      <c r="B14" s="380" t="e">
        <f>Divident_all!#REF!</f>
        <v>#REF!</v>
      </c>
      <c r="C14" s="380" t="e">
        <f>Divident_all!#REF!</f>
        <v>#REF!</v>
      </c>
      <c r="D14" s="381" t="e">
        <f>Divident_all!#REF!</f>
        <v>#REF!</v>
      </c>
      <c r="E14" s="382">
        <f ca="1">IFERROR(__xludf.DUMMYFUNCTION("(((H14/GOOGLEFINANCE (""Currency:USDRON""))/D14)+F14)"),0.686600253613918)</f>
        <v>0.68660025361391797</v>
      </c>
      <c r="F14" s="380" t="e">
        <f>Divident_all!#REF!</f>
        <v>#REF!</v>
      </c>
      <c r="G14" s="381">
        <f ca="1">IFERROR(__xludf.DUMMYFUNCTION("H14/GOOGLEFINANCE (""Currency:USDRON"")"),6.67541888253487)</f>
        <v>6.6754188825348697</v>
      </c>
      <c r="H14" s="94">
        <v>30</v>
      </c>
      <c r="I14" s="383" t="e">
        <f t="shared" si="5"/>
        <v>#REF!</v>
      </c>
      <c r="J14" s="381" t="e">
        <f t="shared" ca="1" si="3"/>
        <v>#REF!</v>
      </c>
      <c r="K14" s="384">
        <f ca="1">IFERROR(__xludf.DUMMYFUNCTION("(F14*C14)/100*GOOGLEFINANCE (""Currency:USDRON"")"),1.18729486335849)</f>
        <v>1.1872948633584901</v>
      </c>
      <c r="L14" s="385">
        <f ca="1">IFERROR(__xludf.DUMMYFUNCTION("(((H14/GOOGLEFINANCE (""Currency:USDRON""))/D14)*C14)/100*GOOGLEFINANCE (""Currency:USDRON"")"),0.309245483528161)</f>
        <v>0.309245483528161</v>
      </c>
      <c r="M14" s="479">
        <f t="shared" ca="1" si="2"/>
        <v>0.2604622432656713</v>
      </c>
      <c r="N14" s="387" t="e">
        <f>Divident_all!#REF!</f>
        <v>#REF!</v>
      </c>
      <c r="O14" s="387" t="e">
        <f>Divident_all!#REF!</f>
        <v>#REF!</v>
      </c>
      <c r="P14" s="388" t="e">
        <f>Divident_all!#REF!</f>
        <v>#REF!</v>
      </c>
      <c r="Q14" s="166"/>
      <c r="R14" s="279"/>
    </row>
    <row r="15" spans="1:33" ht="12.75">
      <c r="A15" s="522"/>
      <c r="B15" s="480" t="e">
        <f>Divident_all!#REF!</f>
        <v>#REF!</v>
      </c>
      <c r="C15" s="480" t="e">
        <f>Divident_all!#REF!</f>
        <v>#REF!</v>
      </c>
      <c r="D15" s="481" t="e">
        <f>Divident_all!#REF!</f>
        <v>#REF!</v>
      </c>
      <c r="E15" s="482">
        <f ca="1">IFERROR(__xludf.DUMMYFUNCTION("(((H15/GOOGLEFINANCE (""Currency:USDRON""))/D15)+F15)"),0.156922801273464)</f>
        <v>0.156922801273464</v>
      </c>
      <c r="F15" s="480" t="e">
        <f>Divident_all!#REF!</f>
        <v>#REF!</v>
      </c>
      <c r="G15" s="481">
        <f ca="1">IFERROR(__xludf.DUMMYFUNCTION("H15/GOOGLEFINANCE (""Currency:USDRON"")"),5.56284906877906)</f>
        <v>5.5628490687790597</v>
      </c>
      <c r="H15" s="400">
        <v>25</v>
      </c>
      <c r="I15" s="483" t="e">
        <f t="shared" si="5"/>
        <v>#REF!</v>
      </c>
      <c r="J15" s="481" t="e">
        <f t="shared" ca="1" si="3"/>
        <v>#REF!</v>
      </c>
      <c r="K15" s="484">
        <f ca="1">IFERROR(__xludf.DUMMYFUNCTION("(F15*C15)/100*GOOGLEFINANCE (""Currency:USDRON"")"),0.814761041322799)</f>
        <v>0.81476104132279903</v>
      </c>
      <c r="L15" s="485">
        <f ca="1">IFERROR(__xludf.DUMMYFUNCTION("(((H15/GOOGLEFINANCE (""Currency:USDRON""))/D15)*C15)/100*GOOGLEFINANCE (""Currency:USDRON"")"),0.228974565257751)</f>
        <v>0.22897456525775101</v>
      </c>
      <c r="M15" s="404">
        <f t="shared" ca="1" si="2"/>
        <v>0.28103278586565839</v>
      </c>
      <c r="N15" s="486" t="e">
        <f>Divident_all!#REF!</f>
        <v>#REF!</v>
      </c>
      <c r="O15" s="486" t="e">
        <f>Divident_all!#REF!</f>
        <v>#REF!</v>
      </c>
      <c r="P15" s="487" t="e">
        <f>Divident_all!#REF!</f>
        <v>#REF!</v>
      </c>
      <c r="Q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522"/>
      <c r="B16" s="328" t="e">
        <f>Divident_all!#REF!</f>
        <v>#REF!</v>
      </c>
      <c r="C16" s="328" t="e">
        <f>Divident_all!#REF!</f>
        <v>#REF!</v>
      </c>
      <c r="D16" s="329" t="e">
        <f>Divident_all!#REF!</f>
        <v>#REF!</v>
      </c>
      <c r="E16" s="330">
        <f ca="1">IFERROR(__xludf.DUMMYFUNCTION("(((H16/GOOGLEFINANCE (""Currency:USDRON""))/D16)+F16)"),0.17855878584862)</f>
        <v>0.17855878584862001</v>
      </c>
      <c r="F16" s="328" t="e">
        <f>Divident_all!#REF!</f>
        <v>#REF!</v>
      </c>
      <c r="G16" s="329">
        <f ca="1">IFERROR(__xludf.DUMMYFUNCTION("H16/GOOGLEFINANCE (""Currency:USDRON"")"),5.56284906877906)</f>
        <v>5.5628490687790597</v>
      </c>
      <c r="H16" s="331">
        <v>25</v>
      </c>
      <c r="I16" s="332" t="e">
        <f t="shared" si="5"/>
        <v>#REF!</v>
      </c>
      <c r="J16" s="329" t="e">
        <f t="shared" ca="1" si="3"/>
        <v>#REF!</v>
      </c>
      <c r="K16" s="333">
        <f ca="1">IFERROR(__xludf.DUMMYFUNCTION("(F16*C16)/100*GOOGLEFINANCE (""Currency:USDRON"")"),0.622254883639999)</f>
        <v>0.62225488363999903</v>
      </c>
      <c r="L16" s="334">
        <f ca="1">IFERROR(__xludf.DUMMYFUNCTION("(((H16/GOOGLEFINANCE (""Currency:USDRON""))/D16)*C16)/100*GOOGLEFINANCE (""Currency:USDRON"")"),0.180206155842283)</f>
        <v>0.180206155842283</v>
      </c>
      <c r="M16" s="335">
        <f t="shared" ca="1" si="2"/>
        <v>0.28960183452178406</v>
      </c>
      <c r="N16" s="336" t="e">
        <f>Divident_all!#REF!</f>
        <v>#REF!</v>
      </c>
      <c r="O16" s="336" t="e">
        <f>Divident_all!#REF!</f>
        <v>#REF!</v>
      </c>
      <c r="P16" s="337" t="e">
        <f>Divident_all!#REF!</f>
        <v>#REF!</v>
      </c>
      <c r="Q16" s="166"/>
      <c r="R16" s="279"/>
    </row>
    <row r="17" spans="1:33" ht="12.75">
      <c r="A17" s="522"/>
      <c r="B17" s="290" t="e">
        <f>Divident_all!#REF!</f>
        <v>#REF!</v>
      </c>
      <c r="C17" s="290" t="e">
        <f>Divident_all!#REF!</f>
        <v>#REF!</v>
      </c>
      <c r="D17" s="291" t="e">
        <f>Divident_all!#REF!</f>
        <v>#REF!</v>
      </c>
      <c r="E17" s="292">
        <f ca="1">IFERROR(__xludf.DUMMYFUNCTION("(((H17/GOOGLEFINANCE (""Currency:USDRON""))/D17)+F17)"),0.174932497210441)</f>
        <v>0.17493249721044099</v>
      </c>
      <c r="F17" s="290" t="e">
        <f>Divident_all!#REF!</f>
        <v>#REF!</v>
      </c>
      <c r="G17" s="291">
        <f ca="1">IFERROR(__xludf.DUMMYFUNCTION("H17/GOOGLEFINANCE (""Currency:USDRON"")"),4.45027925502325)</f>
        <v>4.4502792550232497</v>
      </c>
      <c r="H17" s="293">
        <v>20</v>
      </c>
      <c r="I17" s="294" t="e">
        <f t="shared" si="5"/>
        <v>#REF!</v>
      </c>
      <c r="J17" s="291" t="e">
        <f t="shared" ca="1" si="3"/>
        <v>#REF!</v>
      </c>
      <c r="K17" s="295">
        <f ca="1">IFERROR(__xludf.DUMMYFUNCTION("(F17*C17)/100*GOOGLEFINANCE (""Currency:USDRON"")"),0.251850802112)</f>
        <v>0.25185080211200001</v>
      </c>
      <c r="L17" s="296">
        <f ca="1">IFERROR(__xludf.DUMMYFUNCTION("(((H17/GOOGLEFINANCE (""Currency:USDRON""))/D17)*C17)/100*GOOGLEFINANCE (""Currency:USDRON"")"),0.133369624387588)</f>
        <v>0.13336962438758801</v>
      </c>
      <c r="M17" s="297">
        <f t="shared" ca="1" si="2"/>
        <v>0.52955806878183975</v>
      </c>
      <c r="N17" s="298" t="e">
        <f>Divident_all!#REF!</f>
        <v>#REF!</v>
      </c>
      <c r="O17" s="298" t="e">
        <f>Divident_all!#REF!</f>
        <v>#REF!</v>
      </c>
      <c r="P17" s="299" t="e">
        <f>Divident_all!#REF!</f>
        <v>#REF!</v>
      </c>
      <c r="Q17" s="166"/>
      <c r="R17" s="279"/>
    </row>
    <row r="18" spans="1:33" ht="12.75">
      <c r="A18" s="522"/>
      <c r="B18" s="489" t="e">
        <f>Divident_all!#REF!</f>
        <v>#REF!</v>
      </c>
      <c r="C18" s="489" t="e">
        <f>Divident_all!#REF!</f>
        <v>#REF!</v>
      </c>
      <c r="D18" s="490" t="e">
        <f>Divident_all!#REF!</f>
        <v>#REF!</v>
      </c>
      <c r="E18" s="491">
        <f ca="1">IFERROR(__xludf.DUMMYFUNCTION("(((H18/GOOGLEFINANCE (""Currency:USDRON""))/D18)+F18)"),0.102800499877793)</f>
        <v>0.10280049987779299</v>
      </c>
      <c r="F18" s="489" t="e">
        <f>Divident_all!#REF!</f>
        <v>#REF!</v>
      </c>
      <c r="G18" s="490">
        <f ca="1">IFERROR(__xludf.DUMMYFUNCTION("H18/GOOGLEFINANCE (""Currency:USDRON"")"),4.45027925502325)</f>
        <v>4.4502792550232497</v>
      </c>
      <c r="H18" s="492">
        <v>20</v>
      </c>
      <c r="I18" s="493" t="e">
        <f t="shared" si="5"/>
        <v>#REF!</v>
      </c>
      <c r="J18" s="490" t="e">
        <f t="shared" ca="1" si="3"/>
        <v>#REF!</v>
      </c>
      <c r="K18" s="494">
        <f ca="1">IFERROR(__xludf.DUMMYFUNCTION("(F18*C18)/100*GOOGLEFINANCE (""Currency:USDRON"")"),0.686204690762499)</f>
        <v>0.68620469076249901</v>
      </c>
      <c r="L18" s="495">
        <f ca="1">IFERROR(__xludf.DUMMYFUNCTION("(((H18/GOOGLEFINANCE (""Currency:USDRON""))/D18)*C18)/100*GOOGLEFINANCE (""Currency:USDRON"")"),0.122287830613884)</f>
        <v>0.122287830613884</v>
      </c>
      <c r="M18" s="496">
        <f t="shared" ca="1" si="2"/>
        <v>0.17820896921879073</v>
      </c>
      <c r="N18" s="497" t="e">
        <f>Divident_all!#REF!</f>
        <v>#REF!</v>
      </c>
      <c r="O18" s="497" t="e">
        <f>Divident_all!#REF!</f>
        <v>#REF!</v>
      </c>
      <c r="P18" s="498" t="e">
        <f>Divident_all!#REF!</f>
        <v>#REF!</v>
      </c>
      <c r="Q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522"/>
      <c r="B19" s="320" t="e">
        <f>Divident_all!#REF!</f>
        <v>#REF!</v>
      </c>
      <c r="C19" s="320" t="e">
        <f>Divident_all!#REF!</f>
        <v>#REF!</v>
      </c>
      <c r="D19" s="321" t="e">
        <f>Divident_all!#REF!</f>
        <v>#REF!</v>
      </c>
      <c r="E19" s="322">
        <f ca="1">IFERROR(__xludf.DUMMYFUNCTION("(((H19/GOOGLEFINANCE (""Currency:USDRON""))/D19)+F19)"),0.270869915266877)</f>
        <v>0.27086991526687698</v>
      </c>
      <c r="F19" s="320" t="e">
        <f>Divident_all!#REF!</f>
        <v>#REF!</v>
      </c>
      <c r="G19" s="321">
        <f ca="1">IFERROR(__xludf.DUMMYFUNCTION("H19/GOOGLEFINANCE (""Currency:USDRON"")"),4.45027925502325)</f>
        <v>4.4502792550232497</v>
      </c>
      <c r="H19" s="293">
        <v>20</v>
      </c>
      <c r="I19" s="323" t="e">
        <f t="shared" si="5"/>
        <v>#REF!</v>
      </c>
      <c r="J19" s="321" t="e">
        <f t="shared" ca="1" si="3"/>
        <v>#REF!</v>
      </c>
      <c r="K19" s="324">
        <f ca="1">IFERROR(__xludf.DUMMYFUNCTION("(F19*C19)/100*GOOGLEFINANCE (""Currency:USDRON"")"),0.457310987327999)</f>
        <v>0.45731098732799902</v>
      </c>
      <c r="L19" s="325">
        <f ca="1">IFERROR(__xludf.DUMMYFUNCTION("(((H19/GOOGLEFINANCE (""Currency:USDRON""))/D19)*C19)/100*GOOGLEFINANCE (""Currency:USDRON"")"),0.127000926048419)</f>
        <v>0.12700092604841901</v>
      </c>
      <c r="M19" s="297">
        <f t="shared" ca="1" si="2"/>
        <v>0.27771238734163545</v>
      </c>
      <c r="N19" s="326" t="e">
        <f>Divident_all!#REF!</f>
        <v>#REF!</v>
      </c>
      <c r="O19" s="326" t="e">
        <f>Divident_all!#REF!</f>
        <v>#REF!</v>
      </c>
      <c r="P19" s="327" t="e">
        <f>Divident_all!#REF!</f>
        <v>#REF!</v>
      </c>
      <c r="Q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522"/>
      <c r="B20" s="290" t="e">
        <f>Divident_all!#REF!</f>
        <v>#REF!</v>
      </c>
      <c r="C20" s="290" t="e">
        <f>Divident_all!#REF!</f>
        <v>#REF!</v>
      </c>
      <c r="D20" s="291" t="e">
        <f>Divident_all!#REF!</f>
        <v>#REF!</v>
      </c>
      <c r="E20" s="292">
        <f ca="1">IFERROR(__xludf.DUMMYFUNCTION("(((H20/GOOGLEFINANCE (""Currency:USDRON""))/D20)+F20)"),0.149775148046511)</f>
        <v>0.14977514804651099</v>
      </c>
      <c r="F20" s="290" t="e">
        <f>Divident_all!#REF!</f>
        <v>#REF!</v>
      </c>
      <c r="G20" s="291">
        <f ca="1">IFERROR(__xludf.DUMMYFUNCTION("H20/GOOGLEFINANCE (""Currency:USDRON"")"),4.45027925502325)</f>
        <v>4.4502792550232497</v>
      </c>
      <c r="H20" s="293">
        <v>20</v>
      </c>
      <c r="I20" s="294" t="e">
        <f t="shared" si="5"/>
        <v>#REF!</v>
      </c>
      <c r="J20" s="291" t="e">
        <f t="shared" ca="1" si="3"/>
        <v>#REF!</v>
      </c>
      <c r="K20" s="295">
        <f ca="1">IFERROR(__xludf.DUMMYFUNCTION("(F20*C20)/100*GOOGLEFINANCE (""Currency:USDRON"")"),0.508593369920596)</f>
        <v>0.50859336992059601</v>
      </c>
      <c r="L20" s="296">
        <f ca="1">IFERROR(__xludf.DUMMYFUNCTION("(((H20/GOOGLEFINANCE (""Currency:USDRON""))/D20)*C20)/100*GOOGLEFINANCE (""Currency:USDRON"")"),0.124596026490066)</f>
        <v>0.124596026490066</v>
      </c>
      <c r="M20" s="297">
        <f t="shared" ca="1" si="2"/>
        <v>0.24498161765167822</v>
      </c>
      <c r="N20" s="298" t="e">
        <f>Divident_all!#REF!</f>
        <v>#REF!</v>
      </c>
      <c r="O20" s="298" t="e">
        <f>Divident_all!#REF!</f>
        <v>#REF!</v>
      </c>
      <c r="P20" s="299" t="e">
        <f>Divident_all!#REF!</f>
        <v>#REF!</v>
      </c>
      <c r="Q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522"/>
      <c r="B21" s="407" t="e">
        <f>Divident_all!#REF!</f>
        <v>#REF!</v>
      </c>
      <c r="C21" s="407" t="e">
        <f>Divident_all!#REF!</f>
        <v>#REF!</v>
      </c>
      <c r="D21" s="408" t="e">
        <f>Divident_all!#REF!</f>
        <v>#REF!</v>
      </c>
      <c r="E21" s="409">
        <f ca="1">IFERROR(__xludf.DUMMYFUNCTION("(((H21/GOOGLEFINANCE (""Currency:USDRON""))/D21)+F21)"),0.0836471434714886)</f>
        <v>8.3647143471488605E-2</v>
      </c>
      <c r="F21" s="407" t="e">
        <f>Divident_all!#REF!</f>
        <v>#REF!</v>
      </c>
      <c r="G21" s="408">
        <f ca="1">IFERROR(__xludf.DUMMYFUNCTION("H21/GOOGLEFINANCE (""Currency:USDRON"")"),4.45027925502325)</f>
        <v>4.4502792550232497</v>
      </c>
      <c r="H21" s="410">
        <v>20</v>
      </c>
      <c r="I21" s="411" t="e">
        <f t="shared" si="5"/>
        <v>#REF!</v>
      </c>
      <c r="J21" s="408" t="e">
        <f t="shared" ca="1" si="3"/>
        <v>#REF!</v>
      </c>
      <c r="K21" s="412">
        <f ca="1">IFERROR(__xludf.DUMMYFUNCTION("(F21*C21)/100*GOOGLEFINANCE (""Currency:USDRON"")"),0.3802654671816)</f>
        <v>0.38026546718159998</v>
      </c>
      <c r="L21" s="413">
        <f ca="1">IFERROR(__xludf.DUMMYFUNCTION("(((H21/GOOGLEFINANCE (""Currency:USDRON""))/D21)*C21)/100*GOOGLEFINANCE (""Currency:USDRON"")"),0.115947121085686)</f>
        <v>0.115947121085686</v>
      </c>
      <c r="M21" s="499">
        <f t="shared" ca="1" si="2"/>
        <v>0.3049109926942542</v>
      </c>
      <c r="N21" s="415" t="e">
        <f>Divident_all!#REF!</f>
        <v>#REF!</v>
      </c>
      <c r="O21" s="415" t="e">
        <f>Divident_all!#REF!</f>
        <v>#REF!</v>
      </c>
      <c r="P21" s="416" t="e">
        <f>Divident_all!#REF!</f>
        <v>#REF!</v>
      </c>
      <c r="Q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522"/>
      <c r="B22" s="407" t="e">
        <f>Divident_all!#REF!</f>
        <v>#REF!</v>
      </c>
      <c r="C22" s="407" t="e">
        <f>Divident_all!#REF!</f>
        <v>#REF!</v>
      </c>
      <c r="D22" s="408" t="e">
        <f>Divident_all!#REF!</f>
        <v>#REF!</v>
      </c>
      <c r="E22" s="409">
        <f ca="1">IFERROR(__xludf.DUMMYFUNCTION("(((H22/GOOGLEFINANCE (""Currency:USDRON""))/D22)+F22)"),0.0785448405893385)</f>
        <v>7.8544840589338499E-2</v>
      </c>
      <c r="F22" s="407" t="e">
        <f>Divident_all!#REF!</f>
        <v>#REF!</v>
      </c>
      <c r="G22" s="408">
        <f ca="1">IFERROR(__xludf.DUMMYFUNCTION("H22/GOOGLEFINANCE (""Currency:USDRON"")"),4.45027925502325)</f>
        <v>4.4502792550232497</v>
      </c>
      <c r="H22" s="410">
        <v>20</v>
      </c>
      <c r="I22" s="411" t="e">
        <f t="shared" si="5"/>
        <v>#REF!</v>
      </c>
      <c r="J22" s="408" t="e">
        <f t="shared" ca="1" si="3"/>
        <v>#REF!</v>
      </c>
      <c r="K22" s="412">
        <f ca="1">IFERROR(__xludf.DUMMYFUNCTION("(F22*C22)/100*GOOGLEFINANCE (""Currency:USDRON"")"),0.316289904371999)</f>
        <v>0.316289904371999</v>
      </c>
      <c r="L22" s="413">
        <f ca="1">IFERROR(__xludf.DUMMYFUNCTION("(((H22/GOOGLEFINANCE (""Currency:USDRON""))/D22)*C22)/100*GOOGLEFINANCE (""Currency:USDRON"")"),0.107296137339055)</f>
        <v>0.10729613733905501</v>
      </c>
      <c r="M22" s="499">
        <f t="shared" ca="1" si="2"/>
        <v>0.33923351917315853</v>
      </c>
      <c r="N22" s="415" t="e">
        <f>Divident_all!#REF!</f>
        <v>#REF!</v>
      </c>
      <c r="O22" s="415" t="e">
        <f>Divident_all!#REF!</f>
        <v>#REF!</v>
      </c>
      <c r="P22" s="416" t="e">
        <f>Divident_all!#REF!</f>
        <v>#REF!</v>
      </c>
      <c r="Q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522"/>
      <c r="B23" s="338" t="e">
        <f>Divident_all!#REF!</f>
        <v>#REF!</v>
      </c>
      <c r="C23" s="338" t="e">
        <f>Divident_all!#REF!</f>
        <v>#REF!</v>
      </c>
      <c r="D23" s="339" t="e">
        <f>Divident_all!#REF!</f>
        <v>#REF!</v>
      </c>
      <c r="E23" s="340">
        <f ca="1">IFERROR(__xludf.DUMMYFUNCTION("(((H23/GOOGLEFINANCE (""Currency:USDRON""))/D23)+F23)"),0.185229602690963)</f>
        <v>0.185229602690963</v>
      </c>
      <c r="F23" s="338" t="e">
        <f>Divident_all!#REF!</f>
        <v>#REF!</v>
      </c>
      <c r="G23" s="339">
        <f ca="1">IFERROR(__xludf.DUMMYFUNCTION("H23/GOOGLEFINANCE (""Currency:USDRON"")"),4.45027925502325)</f>
        <v>4.4502792550232497</v>
      </c>
      <c r="H23" s="341">
        <v>20</v>
      </c>
      <c r="I23" s="342" t="e">
        <f t="shared" si="5"/>
        <v>#REF!</v>
      </c>
      <c r="J23" s="339" t="e">
        <f t="shared" ca="1" si="3"/>
        <v>#REF!</v>
      </c>
      <c r="K23" s="333">
        <f ca="1">IFERROR(__xludf.DUMMYFUNCTION("(F23*C23)/100*GOOGLEFINANCE (""Currency:USDRON"")"),0.419472413532899)</f>
        <v>0.41947241353289899</v>
      </c>
      <c r="L23" s="343">
        <f ca="1">IFERROR(__xludf.DUMMYFUNCTION("(((H23/GOOGLEFINANCE (""Currency:USDRON""))/D23)*C23)/100*GOOGLEFINANCE (""Currency:USDRON"")"),0.104965011662779)</f>
        <v>0.104965011662779</v>
      </c>
      <c r="M23" s="335">
        <f t="shared" ca="1" si="2"/>
        <v>0.25023102420189702</v>
      </c>
      <c r="N23" s="344" t="e">
        <f>Divident_all!#REF!</f>
        <v>#REF!</v>
      </c>
      <c r="O23" s="344" t="e">
        <f>Divident_all!#REF!</f>
        <v>#REF!</v>
      </c>
      <c r="P23" s="345" t="e">
        <f>Divident_all!#REF!</f>
        <v>#REF!</v>
      </c>
      <c r="Q23" s="166"/>
      <c r="R23" s="279"/>
    </row>
    <row r="24" spans="1:33" ht="12.75">
      <c r="A24" s="522"/>
      <c r="B24" s="407" t="e">
        <f>Divident_all!#REF!</f>
        <v>#REF!</v>
      </c>
      <c r="C24" s="407" t="e">
        <f>Divident_all!#REF!</f>
        <v>#REF!</v>
      </c>
      <c r="D24" s="408" t="e">
        <f>Divident_all!#REF!</f>
        <v>#REF!</v>
      </c>
      <c r="E24" s="409">
        <f ca="1">IFERROR(__xludf.DUMMYFUNCTION("(((H24/GOOGLEFINANCE (""Currency:USDRON""))/D24)+F24)"),0.0388291462729644)</f>
        <v>3.8829146272964403E-2</v>
      </c>
      <c r="F24" s="407" t="e">
        <f>Divident_all!#REF!</f>
        <v>#REF!</v>
      </c>
      <c r="G24" s="408">
        <f ca="1">IFERROR(__xludf.DUMMYFUNCTION("H24/GOOGLEFINANCE (""Currency:USDRON"")"),3.33770944126743)</f>
        <v>3.33770944126743</v>
      </c>
      <c r="H24" s="410">
        <v>15</v>
      </c>
      <c r="I24" s="411" t="e">
        <f t="shared" si="5"/>
        <v>#REF!</v>
      </c>
      <c r="J24" s="408" t="e">
        <f t="shared" ca="1" si="3"/>
        <v>#REF!</v>
      </c>
      <c r="K24" s="500">
        <f ca="1">IFERROR(__xludf.DUMMYFUNCTION("(F24*C24)/100*GOOGLEFINANCE (""Currency:USDRON"")"),0.169774177462499)</f>
        <v>0.16977417746249901</v>
      </c>
      <c r="L24" s="413">
        <f ca="1">IFERROR(__xludf.DUMMYFUNCTION("(((H24/GOOGLEFINANCE (""Currency:USDRON""))/D24)*C24)/100*GOOGLEFINANCE (""Currency:USDRON"")"),0.0483534053691621)</f>
        <v>4.8353405369162099E-2</v>
      </c>
      <c r="M24" s="414">
        <f t="shared" ca="1" si="2"/>
        <v>0.28481012891281871</v>
      </c>
      <c r="N24" s="415" t="e">
        <f>Divident_all!#REF!</f>
        <v>#REF!</v>
      </c>
      <c r="O24" s="415" t="e">
        <f>Divident_all!#REF!</f>
        <v>#REF!</v>
      </c>
      <c r="P24" s="416" t="e">
        <f>Divident_all!#REF!</f>
        <v>#REF!</v>
      </c>
      <c r="Q24" s="166"/>
      <c r="R24" s="27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G26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50</v>
      </c>
      <c r="L2" s="264">
        <f ca="1">((L4*4)*100)/(500+K2)</f>
        <v>5.1021422313539162</v>
      </c>
      <c r="M2" s="12">
        <v>10</v>
      </c>
      <c r="N2" s="12"/>
      <c r="O2" s="12"/>
      <c r="P2" s="12"/>
    </row>
    <row r="3" spans="1:33" ht="15.75" customHeight="1">
      <c r="A3" s="265" t="s">
        <v>29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AVERAGE(C5:C26)</f>
        <v>#REF!</v>
      </c>
      <c r="D4" s="118" t="e">
        <f t="shared" si="0"/>
        <v>#REF!</v>
      </c>
      <c r="E4" s="267">
        <f t="shared" ca="1" si="0"/>
        <v>1.7838080306579756</v>
      </c>
      <c r="F4" s="116"/>
      <c r="G4" s="247">
        <f ca="1">SUM(G5:G26)</f>
        <v>124.74405529207058</v>
      </c>
      <c r="H4" s="116">
        <f>500+K2+M2-SUM(H5:H26)</f>
        <v>0</v>
      </c>
      <c r="I4" s="118"/>
      <c r="J4" s="118" t="e">
        <f t="shared" ref="J4:L4" ca="1" si="1">SUM(J5:J26)</f>
        <v>#REF!</v>
      </c>
      <c r="K4" s="123">
        <f t="shared" ca="1" si="1"/>
        <v>18.297927659107625</v>
      </c>
      <c r="L4" s="123">
        <f t="shared" ca="1" si="1"/>
        <v>7.0154455681116348</v>
      </c>
      <c r="M4" s="117">
        <f t="shared" ref="M4:M26" ca="1" si="2">L4/K4</f>
        <v>0.38340109868232874</v>
      </c>
      <c r="N4" s="125"/>
      <c r="O4" s="125"/>
      <c r="P4" s="126"/>
    </row>
    <row r="5" spans="1:33" ht="12.75">
      <c r="A5" s="166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(""Currency:USDRON""))/D5)+F5)"),2.17788806747002)</f>
        <v>2.1778880674700201</v>
      </c>
      <c r="F5" s="269" t="e">
        <f>Divident_all!#REF!</f>
        <v>#REF!</v>
      </c>
      <c r="G5" s="270">
        <f ca="1">IFERROR(__xludf.DUMMYFUNCTION("H5/GOOGLEFINANCE (""Currency:USDRON"")"),7.78798869629069)</f>
        <v>7.7879886962906903</v>
      </c>
      <c r="H5" s="272">
        <v>35</v>
      </c>
      <c r="I5" s="273" t="e">
        <f t="shared" ref="I5:I10" si="3">D5/C5</f>
        <v>#REF!</v>
      </c>
      <c r="J5" s="270" t="e">
        <f t="shared" ref="J5:J8" ca="1" si="4">((E5*C5)/100)</f>
        <v>#REF!</v>
      </c>
      <c r="K5" s="319">
        <f ca="1">IFERROR(__xludf.DUMMYFUNCTION("(F5*C5)/100*GOOGLEFINANCE (""Currency:USDRON"")"),2.55846955831999)</f>
        <v>2.5584695583199899</v>
      </c>
      <c r="L5" s="275">
        <f ca="1">IFERROR(__xludf.DUMMYFUNCTION("(((H5/GOOGLEFINANCE (""Currency:USDRON""))/D5)*C5)/100*GOOGLEFINANCE (""Currency:USDRON"")"),1.35658914728682)</f>
        <v>1.3565891472868199</v>
      </c>
      <c r="M5" s="488">
        <f t="shared" ca="1" si="2"/>
        <v>0.53023462517866327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166"/>
      <c r="B6" s="300" t="e">
        <f>Divident_all!#REF!</f>
        <v>#REF!</v>
      </c>
      <c r="C6" s="300" t="e">
        <f>Divident_all!#REF!</f>
        <v>#REF!</v>
      </c>
      <c r="D6" s="372" t="e">
        <f>Divident_all!#REF!</f>
        <v>#REF!</v>
      </c>
      <c r="E6" s="302">
        <f ca="1">IFERROR(__xludf.DUMMYFUNCTION("(((H6/GOOGLEFINANCE (""Currency:cadRON""))/D6)+F6)"),0.824108850043763)</f>
        <v>0.824108850043763</v>
      </c>
      <c r="F6" s="300" t="e">
        <f>Divident_all!#REF!</f>
        <v>#REF!</v>
      </c>
      <c r="G6" s="373">
        <f ca="1">IFERROR(__xludf.DUMMYFUNCTION("H6/GOOGLEFINANCE (""Currency:cadRON"")"),10.5281916757522)</f>
        <v>10.5281916757522</v>
      </c>
      <c r="H6" s="303">
        <v>35</v>
      </c>
      <c r="I6" s="304" t="e">
        <f t="shared" si="3"/>
        <v>#REF!</v>
      </c>
      <c r="J6" s="372" t="e">
        <f t="shared" ca="1" si="4"/>
        <v>#REF!</v>
      </c>
      <c r="K6" s="305">
        <f ca="1">IFERROR(__xludf.DUMMYFUNCTION("(F6*C6)/100*GOOGLEFINANCE (""Currency:cadRON"")"),1.65567368778498)</f>
        <v>1.65567368778498</v>
      </c>
      <c r="L6" s="306">
        <f ca="1">IFERROR(__xludf.DUMMYFUNCTION("(((H6/GOOGLEFINANCE (""Currency:cadRON""))/D6)*C6)/100*GOOGLEFINANCE (""Currency:cadRON"")"),0.775786713286713)</f>
        <v>0.775786713286713</v>
      </c>
      <c r="M6" s="307">
        <f t="shared" ca="1" si="2"/>
        <v>0.46856256701439064</v>
      </c>
      <c r="N6" s="308" t="e">
        <f>Divident_all!#REF!</f>
        <v>#REF!</v>
      </c>
      <c r="O6" s="308" t="e">
        <f>Divident_all!#REF!</f>
        <v>#REF!</v>
      </c>
      <c r="P6" s="309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328" t="e">
        <f>Divident_all!#REF!</f>
        <v>#REF!</v>
      </c>
      <c r="C7" s="328" t="e">
        <f>Divident_all!#REF!</f>
        <v>#REF!</v>
      </c>
      <c r="D7" s="329" t="e">
        <f>Divident_all!#REF!</f>
        <v>#REF!</v>
      </c>
      <c r="E7" s="330">
        <f ca="1">IFERROR(__xludf.DUMMYFUNCTION("(((H7/GOOGLEFINANCE (""Currency:USDRON""))/D7)+F7)"),2.85668747494641)</f>
        <v>2.8566874749464102</v>
      </c>
      <c r="F7" s="328" t="e">
        <f>Divident_all!#REF!</f>
        <v>#REF!</v>
      </c>
      <c r="G7" s="329">
        <f ca="1">IFERROR(__xludf.DUMMYFUNCTION("H7/GOOGLEFINANCE (""Currency:USDRON"")"),6.67541888253487)</f>
        <v>6.6754188825348697</v>
      </c>
      <c r="H7" s="331">
        <v>30</v>
      </c>
      <c r="I7" s="332" t="e">
        <f t="shared" si="3"/>
        <v>#REF!</v>
      </c>
      <c r="J7" s="329" t="e">
        <f t="shared" ca="1" si="4"/>
        <v>#REF!</v>
      </c>
      <c r="K7" s="333">
        <f ca="1">IFERROR(__xludf.DUMMYFUNCTION("(F7*C7)/100*GOOGLEFINANCE (""Currency:USDRON"")"),1.59494305710999)</f>
        <v>1.5949430571099901</v>
      </c>
      <c r="L7" s="334">
        <f ca="1">IFERROR(__xludf.DUMMYFUNCTION("(((H7/GOOGLEFINANCE (""Currency:USDRON""))/D7)*C7)/100*GOOGLEFINANCE (""Currency:USDRON"")"),0.587557603686635)</f>
        <v>0.58755760368663501</v>
      </c>
      <c r="M7" s="335">
        <f t="shared" ca="1" si="2"/>
        <v>0.36838782492415717</v>
      </c>
      <c r="N7" s="336" t="e">
        <f>Divident_all!#REF!</f>
        <v>#REF!</v>
      </c>
      <c r="O7" s="336" t="e">
        <f>Divident_all!#REF!</f>
        <v>#REF!</v>
      </c>
      <c r="P7" s="337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503" t="e">
        <f>Divident_all!#REF!</f>
        <v>#REF!</v>
      </c>
      <c r="C8" s="503" t="e">
        <f>Divident_all!#REF!</f>
        <v>#REF!</v>
      </c>
      <c r="D8" s="504" t="e">
        <f>Divident_all!#REF!</f>
        <v>#REF!</v>
      </c>
      <c r="E8" s="505">
        <f ca="1">IFERROR(__xludf.DUMMYFUNCTION("(((H8/GOOGLEFINANCE (""Currency:USDRON""))/D8)+F8)"),0.288336525772562)</f>
        <v>0.28833652577256202</v>
      </c>
      <c r="F8" s="503" t="e">
        <f>Divident_all!#REF!</f>
        <v>#REF!</v>
      </c>
      <c r="G8" s="504">
        <f ca="1">IFERROR(__xludf.DUMMYFUNCTION("H8/GOOGLEFINANCE (""Currency:USDRON"")"),6.67541888253487)</f>
        <v>6.6754188825348697</v>
      </c>
      <c r="H8" s="162">
        <v>30</v>
      </c>
      <c r="I8" s="163" t="e">
        <f t="shared" si="3"/>
        <v>#REF!</v>
      </c>
      <c r="J8" s="504" t="e">
        <f t="shared" ca="1" si="4"/>
        <v>#REF!</v>
      </c>
      <c r="K8" s="506">
        <f ca="1">IFERROR(__xludf.DUMMYFUNCTION("(F8*C8)/100*GOOGLEFINANCE (""Currency:USDRON"")"),0.810081029394)</f>
        <v>0.81008102939399995</v>
      </c>
      <c r="L8" s="507">
        <f ca="1">IFERROR(__xludf.DUMMYFUNCTION("(((H8/GOOGLEFINANCE (""Currency:USDRON""))/D8)*C8)/100*GOOGLEFINANCE (""Currency:USDRON"")"),0.427420557959122)</f>
        <v>0.42742055795912198</v>
      </c>
      <c r="M8" s="307">
        <f t="shared" ca="1" si="2"/>
        <v>0.52762691934517203</v>
      </c>
      <c r="N8" s="508" t="e">
        <f>Divident_all!#REF!</f>
        <v>#REF!</v>
      </c>
      <c r="O8" s="508" t="e">
        <f>Divident_all!#REF!</f>
        <v>#REF!</v>
      </c>
      <c r="P8" s="50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38" t="e">
        <f>Divident_all!#REF!</f>
        <v>#REF!</v>
      </c>
      <c r="C9" s="338" t="e">
        <f>Divident_all!#REF!</f>
        <v>#REF!</v>
      </c>
      <c r="D9" s="501" t="e">
        <f>Divident_all!#REF!</f>
        <v>#REF!</v>
      </c>
      <c r="E9" s="340">
        <f ca="1">IFERROR(__xludf.DUMMYFUNCTION("(((H9/GOOGLEFINANCE (""Currency:gbpRON"")*100)/D9)+F9)"),10.9659732858386)</f>
        <v>10.965973285838601</v>
      </c>
      <c r="F9" s="338" t="e">
        <f>Divident_all!#REF!</f>
        <v>#REF!</v>
      </c>
      <c r="G9" s="376">
        <f ca="1">IFERROR(__xludf.DUMMYFUNCTION("H9/GOOGLEFINANCE (""Currency:gbpRON"")"),5.37343546851394)</f>
        <v>5.3734354685139403</v>
      </c>
      <c r="H9" s="341">
        <v>30</v>
      </c>
      <c r="I9" s="342" t="e">
        <f t="shared" si="3"/>
        <v>#REF!</v>
      </c>
      <c r="J9" s="376" t="e">
        <f t="shared" ref="J9:J10" ca="1" si="5">((E9*C9)/100)/100</f>
        <v>#REF!</v>
      </c>
      <c r="K9" s="502">
        <f ca="1">IFERROR(__xludf.DUMMYFUNCTION("(E9*C9)/100/100*GOOGLEFINANCE (""Currency:gbpRON"")"),1.28568831068309)</f>
        <v>1.2856883106830901</v>
      </c>
      <c r="L9" s="343">
        <f ca="1">IFERROR(__xludf.DUMMYFUNCTION("(((H9/GOOGLEFINANCE (""Currency:gbpRON""))/D9)*C9)/100*GOOGLEFINANCE (""Currency:gbpRON"")"),0.457848837209302)</f>
        <v>0.45784883720930197</v>
      </c>
      <c r="M9" s="335">
        <f t="shared" ca="1" si="2"/>
        <v>0.35611184561991194</v>
      </c>
      <c r="N9" s="344" t="e">
        <f>Divident_all!#REF!</f>
        <v>#REF!</v>
      </c>
      <c r="O9" s="344" t="e">
        <f>Divident_all!#REF!</f>
        <v>#REF!</v>
      </c>
      <c r="P9" s="345" t="e">
        <f>Divident_all!#REF!</f>
        <v>#REF!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300" t="e">
        <f>Divident_all!#REF!</f>
        <v>#REF!</v>
      </c>
      <c r="C10" s="300" t="e">
        <f>Divident_all!#REF!</f>
        <v>#REF!</v>
      </c>
      <c r="D10" s="510" t="e">
        <f>Divident_all!#REF!</f>
        <v>#REF!</v>
      </c>
      <c r="E10" s="302">
        <f ca="1">IFERROR(__xludf.DUMMYFUNCTION("(((H10/GOOGLEFINANCE (""Currency:gbpRON"")*100)/D10)+F10)"),15.7290376913518)</f>
        <v>15.729037691351801</v>
      </c>
      <c r="F10" s="300" t="e">
        <f>Divident_all!#REF!</f>
        <v>#REF!</v>
      </c>
      <c r="G10" s="379">
        <f ca="1">IFERROR(__xludf.DUMMYFUNCTION("H10/GOOGLEFINANCE (""Currency:gbpRON"")"),5.37343546851394)</f>
        <v>5.3734354685139403</v>
      </c>
      <c r="H10" s="303">
        <v>30</v>
      </c>
      <c r="I10" s="304" t="e">
        <f t="shared" si="3"/>
        <v>#REF!</v>
      </c>
      <c r="J10" s="379" t="e">
        <f t="shared" ca="1" si="5"/>
        <v>#REF!</v>
      </c>
      <c r="K10" s="305">
        <f ca="1">IFERROR(__xludf.DUMMYFUNCTION("((F10*C10)/100*GOOGLEFINANCE (""Currency:gbpRON""))/100"),1.10467906444247)</f>
        <v>1.10467906444247</v>
      </c>
      <c r="L10" s="306">
        <f ca="1">IFERROR(__xludf.DUMMYFUNCTION("(((H10/GOOGLEFINANCE (""Currency:gbpRON""))/D10)*C10)/100*GOOGLEFINANCE (""Currency:gbpRON"")"),0.396966648611003)</f>
        <v>0.396966648611003</v>
      </c>
      <c r="M10" s="307">
        <f t="shared" ca="1" si="2"/>
        <v>0.3593502053117586</v>
      </c>
      <c r="N10" s="308" t="e">
        <f>Divident_all!#REF!</f>
        <v>#REF!</v>
      </c>
      <c r="O10" s="308" t="e">
        <f>Divident_all!#REF!</f>
        <v>#REF!</v>
      </c>
      <c r="P10" s="309" t="e">
        <f>Divident_all!#REF!</f>
        <v>#REF!</v>
      </c>
      <c r="Q10" s="234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511" t="e">
        <f>Divident_all!#REF!</f>
        <v>#REF!</v>
      </c>
      <c r="C11" s="511" t="e">
        <f>Divident_all!#REF!</f>
        <v>#REF!</v>
      </c>
      <c r="D11" s="512" t="e">
        <f>Divident_all!#REF!</f>
        <v>#REF!</v>
      </c>
      <c r="E11" s="513">
        <f ca="1">IFERROR(__xludf.DUMMYFUNCTION("(((H11/GOOGLEFINANCE (""Currency:USDRON""))/D11)+F11)"),0.168281831407326)</f>
        <v>0.168281831407326</v>
      </c>
      <c r="F11" s="511" t="e">
        <f>Divident_all!#REF!</f>
        <v>#REF!</v>
      </c>
      <c r="G11" s="512">
        <f ca="1">IFERROR(__xludf.DUMMYFUNCTION("H11/GOOGLEFINANCE (""Currency:usdRON"")"),6.67541888253487)</f>
        <v>6.6754188825348697</v>
      </c>
      <c r="H11" s="514">
        <v>30</v>
      </c>
      <c r="I11" s="515" t="e">
        <f>D11/(C11)</f>
        <v>#REF!</v>
      </c>
      <c r="J11" s="512" t="e">
        <f t="shared" ref="J11:J26" ca="1" si="6">((E11*C11)/100)</f>
        <v>#REF!</v>
      </c>
      <c r="K11" s="516">
        <f ca="1">IFERROR(__xludf.DUMMYFUNCTION("(F11*C11)/100*GOOGLEFINANCE (""Currency:usdRON"")"),0.861558136081499)</f>
        <v>0.861558136081499</v>
      </c>
      <c r="L11" s="517">
        <f ca="1">IFERROR(__xludf.DUMMYFUNCTION("(((H11/GOOGLEFINANCE (""Currency:usdRON""))/D11)*C11)/100*GOOGLEFINANCE (""Currency:usdRON"")"),0.386296238489152)</f>
        <v>0.38629623848915201</v>
      </c>
      <c r="M11" s="362">
        <f t="shared" ca="1" si="2"/>
        <v>0.44836932333561103</v>
      </c>
      <c r="N11" s="518" t="e">
        <f>Divident_all!#REF!</f>
        <v>#REF!</v>
      </c>
      <c r="O11" s="518" t="e">
        <f>Divident_all!#REF!</f>
        <v>#REF!</v>
      </c>
      <c r="P11" s="519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328" t="e">
        <f>Divident_all!#REF!</f>
        <v>#REF!</v>
      </c>
      <c r="C12" s="328" t="e">
        <f>Divident_all!#REF!</f>
        <v>#REF!</v>
      </c>
      <c r="D12" s="329" t="e">
        <f>Divident_all!#REF!</f>
        <v>#REF!</v>
      </c>
      <c r="E12" s="330">
        <f ca="1">IFERROR(__xludf.DUMMYFUNCTION("(((H12/GOOGLEFINANCE (""Currency:USDRON""))/D12)+F12)"),0.798575582806813)</f>
        <v>0.79857558280681296</v>
      </c>
      <c r="F12" s="328" t="e">
        <f>Divident_all!#REF!</f>
        <v>#REF!</v>
      </c>
      <c r="G12" s="329">
        <f ca="1">IFERROR(__xludf.DUMMYFUNCTION("H12/GOOGLEFINANCE (""Currency:USDRON"")"),6.67541888253487)</f>
        <v>6.6754188825348697</v>
      </c>
      <c r="H12" s="331">
        <v>30</v>
      </c>
      <c r="I12" s="332" t="e">
        <f t="shared" ref="I12:I14" si="7">D12/C12</f>
        <v>#REF!</v>
      </c>
      <c r="J12" s="329" t="e">
        <f t="shared" ca="1" si="6"/>
        <v>#REF!</v>
      </c>
      <c r="K12" s="333">
        <f ca="1">IFERROR(__xludf.DUMMYFUNCTION("(F12*C12)/100*GOOGLEFINANCE (""Currency:USDRON"")"),0.74134314072)</f>
        <v>0.74134314071999996</v>
      </c>
      <c r="L12" s="334">
        <f ca="1">IFERROR(__xludf.DUMMYFUNCTION("(((H12/GOOGLEFINANCE (""Currency:USDRON""))/D12)*C12)/100*GOOGLEFINANCE (""Currency:USDRON"")"),0.33532041728763)</f>
        <v>0.33532041728763001</v>
      </c>
      <c r="M12" s="335">
        <f t="shared" ca="1" si="2"/>
        <v>0.45231472292569325</v>
      </c>
      <c r="N12" s="336" t="e">
        <f>Divident_all!#REF!</f>
        <v>#REF!</v>
      </c>
      <c r="O12" s="336" t="e">
        <f>Divident_all!#REF!</f>
        <v>#REF!</v>
      </c>
      <c r="P12" s="337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300" t="e">
        <f>Divident_all!#REF!</f>
        <v>#REF!</v>
      </c>
      <c r="C13" s="300" t="e">
        <f>Divident_all!#REF!</f>
        <v>#REF!</v>
      </c>
      <c r="D13" s="301" t="e">
        <f>Divident_all!#REF!</f>
        <v>#REF!</v>
      </c>
      <c r="E13" s="302">
        <f ca="1">IFERROR(__xludf.DUMMYFUNCTION("(((H13/GOOGLEFINANCE (""Currency:USDRON""))/D13)+F13)"),0.631042218889474)</f>
        <v>0.63104221888947398</v>
      </c>
      <c r="F13" s="300" t="e">
        <f>Divident_all!#REF!</f>
        <v>#REF!</v>
      </c>
      <c r="G13" s="301">
        <f ca="1">IFERROR(__xludf.DUMMYFUNCTION("H13/GOOGLEFINANCE (""Currency:USDRON"")"),6.67541888253487)</f>
        <v>6.6754188825348697</v>
      </c>
      <c r="H13" s="303">
        <v>30</v>
      </c>
      <c r="I13" s="304" t="e">
        <f t="shared" si="7"/>
        <v>#REF!</v>
      </c>
      <c r="J13" s="301" t="e">
        <f t="shared" ca="1" si="6"/>
        <v>#REF!</v>
      </c>
      <c r="K13" s="305">
        <f ca="1">IFERROR(__xludf.DUMMYFUNCTION("(F13*C13)/100*GOOGLEFINANCE (""Currency:USDRON"")"),0.831545827112519)</f>
        <v>0.83154582711251901</v>
      </c>
      <c r="L13" s="306">
        <f ca="1">IFERROR(__xludf.DUMMYFUNCTION("(((H13/GOOGLEFINANCE (""Currency:USDRON""))/D13)*C13)/100*GOOGLEFINANCE (""Currency:USDRON"")"),0.293198620009857)</f>
        <v>0.29319862000985702</v>
      </c>
      <c r="M13" s="307">
        <f t="shared" ca="1" si="2"/>
        <v>0.35259466219434643</v>
      </c>
      <c r="N13" s="308" t="e">
        <f>Divident_all!#REF!</f>
        <v>#REF!</v>
      </c>
      <c r="O13" s="308" t="e">
        <f>Divident_all!#REF!</f>
        <v>#REF!</v>
      </c>
      <c r="P13" s="309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89" t="e">
        <f>Divident_all!#REF!</f>
        <v>#REF!</v>
      </c>
      <c r="C14" s="389" t="e">
        <f>Divident_all!#REF!</f>
        <v>#REF!</v>
      </c>
      <c r="D14" s="390" t="e">
        <f>Divident_all!#REF!</f>
        <v>#REF!</v>
      </c>
      <c r="E14" s="391">
        <f ca="1">IFERROR(__xludf.DUMMYFUNCTION("(((H14/GOOGLEFINANCE (""Currency:USDRON""))/D14)+F14)"),0.199714865736735)</f>
        <v>0.199714865736735</v>
      </c>
      <c r="F14" s="389" t="e">
        <f>Divident_all!#REF!</f>
        <v>#REF!</v>
      </c>
      <c r="G14" s="390">
        <f ca="1">IFERROR(__xludf.DUMMYFUNCTION("H14/GOOGLEFINANCE (""Currency:USDRON"")"),6.67541888253487)</f>
        <v>6.6754188825348697</v>
      </c>
      <c r="H14" s="392">
        <v>30</v>
      </c>
      <c r="I14" s="393" t="e">
        <f t="shared" si="7"/>
        <v>#REF!</v>
      </c>
      <c r="J14" s="390" t="e">
        <f t="shared" ca="1" si="6"/>
        <v>#REF!</v>
      </c>
      <c r="K14" s="520">
        <f ca="1">IFERROR(__xludf.DUMMYFUNCTION("(F14*C14)/100*GOOGLEFINANCE (""Currency:USDRON"")"),0.593238888777599)</f>
        <v>0.593238888777599</v>
      </c>
      <c r="L14" s="394">
        <f ca="1">IFERROR(__xludf.DUMMYFUNCTION("(((H14/GOOGLEFINANCE (""Currency:USDRON""))/D14)*C14)/100*GOOGLEFINANCE (""Currency:USDRON"")"),0.308787382220401)</f>
        <v>0.30878738222040097</v>
      </c>
      <c r="M14" s="386">
        <f t="shared" ca="1" si="2"/>
        <v>0.52051102525775772</v>
      </c>
      <c r="N14" s="395" t="e">
        <f>Divident_all!#REF!</f>
        <v>#REF!</v>
      </c>
      <c r="O14" s="395" t="e">
        <f>Divident_all!#REF!</f>
        <v>#REF!</v>
      </c>
      <c r="P14" s="396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480" t="e">
        <f>Divident_all!#REF!</f>
        <v>#REF!</v>
      </c>
      <c r="C15" s="480" t="e">
        <f>Divident_all!#REF!</f>
        <v>#REF!</v>
      </c>
      <c r="D15" s="481" t="e">
        <f>Divident_all!#REF!</f>
        <v>#REF!</v>
      </c>
      <c r="E15" s="482">
        <f ca="1">IFERROR(__xludf.DUMMYFUNCTION("(((H15/GOOGLEFINANCE (""Currency:USDRON""))/D15)+F15)"),0.400391066096986)</f>
        <v>0.40039106609698599</v>
      </c>
      <c r="F15" s="480" t="e">
        <f>Divident_all!#REF!</f>
        <v>#REF!</v>
      </c>
      <c r="G15" s="481">
        <f ca="1">IFERROR(__xludf.DUMMYFUNCTION("H15/GOOGLEFINANCE (""Currency:USDRON"")"),6.67541888253487)</f>
        <v>6.6754188825348697</v>
      </c>
      <c r="H15" s="400">
        <v>30</v>
      </c>
      <c r="I15" s="483" t="e">
        <f>D15/(C15)</f>
        <v>#REF!</v>
      </c>
      <c r="J15" s="481" t="e">
        <f t="shared" ca="1" si="6"/>
        <v>#REF!</v>
      </c>
      <c r="K15" s="484">
        <f ca="1">IFERROR(__xludf.DUMMYFUNCTION("(F15*C15)/100*GOOGLEFINANCE (""Currency:USDRON"")"),0.439136801986999)</f>
        <v>0.439136801986999</v>
      </c>
      <c r="L15" s="485">
        <f ca="1">IFERROR(__xludf.DUMMYFUNCTION("(((H15/GOOGLEFINANCE (""Currency:USDRON""))/D15)*C15)/100*GOOGLEFINANCE (""Currency:USDRON"")"),0.298616168973051)</f>
        <v>0.29861616897305099</v>
      </c>
      <c r="M15" s="404">
        <f t="shared" ca="1" si="2"/>
        <v>0.68000715863912442</v>
      </c>
      <c r="N15" s="486" t="e">
        <f>Divident_all!#REF!</f>
        <v>#REF!</v>
      </c>
      <c r="O15" s="486" t="e">
        <f>Divident_all!#REF!</f>
        <v>#REF!</v>
      </c>
      <c r="P15" s="487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389" t="e">
        <f>Divident_all!#REF!</f>
        <v>#REF!</v>
      </c>
      <c r="C16" s="389" t="e">
        <f>Divident_all!#REF!</f>
        <v>#REF!</v>
      </c>
      <c r="D16" s="390" t="e">
        <f>Divident_all!#REF!</f>
        <v>#REF!</v>
      </c>
      <c r="E16" s="391">
        <f ca="1">IFERROR(__xludf.DUMMYFUNCTION("(((H16/GOOGLEFINANCE (""Currency:USDRON""))/D16)+F16)"),0.288454231147888)</f>
        <v>0.28845423114788799</v>
      </c>
      <c r="F16" s="389" t="e">
        <f>Divident_all!#REF!</f>
        <v>#REF!</v>
      </c>
      <c r="G16" s="390">
        <f ca="1">IFERROR(__xludf.DUMMYFUNCTION("H16/GOOGLEFINANCE (""Currency:USDRON"")"),5.56284906877906)</f>
        <v>5.5628490687790597</v>
      </c>
      <c r="H16" s="392">
        <v>25</v>
      </c>
      <c r="I16" s="393" t="e">
        <f t="shared" ref="I16:I26" si="8">D16/C16</f>
        <v>#REF!</v>
      </c>
      <c r="J16" s="390" t="e">
        <f t="shared" ca="1" si="6"/>
        <v>#REF!</v>
      </c>
      <c r="K16" s="520">
        <f ca="1">IFERROR(__xludf.DUMMYFUNCTION("(F16*C16)/100*GOOGLEFINANCE (""Currency:USDRON"")"),0.645204634463999)</f>
        <v>0.645204634463999</v>
      </c>
      <c r="L16" s="394">
        <f ca="1">IFERROR(__xludf.DUMMYFUNCTION("(((H16/GOOGLEFINANCE (""Currency:USDRON""))/D16)*C16)/100*GOOGLEFINANCE (""Currency:USDRON"")"),0.236308034473172)</f>
        <v>0.236308034473172</v>
      </c>
      <c r="M16" s="386">
        <f t="shared" ca="1" si="2"/>
        <v>0.36625284731484281</v>
      </c>
      <c r="N16" s="395" t="e">
        <f>Divident_all!#REF!</f>
        <v>#REF!</v>
      </c>
      <c r="O16" s="395" t="e">
        <f>Divident_all!#REF!</f>
        <v>#REF!</v>
      </c>
      <c r="P16" s="396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300" t="e">
        <f>Divident_all!#REF!</f>
        <v>#REF!</v>
      </c>
      <c r="C17" s="300" t="e">
        <f>Divident_all!#REF!</f>
        <v>#REF!</v>
      </c>
      <c r="D17" s="301" t="e">
        <f>Divident_all!#REF!</f>
        <v>#REF!</v>
      </c>
      <c r="E17" s="302">
        <f ca="1">IFERROR(__xludf.DUMMYFUNCTION("(((H17/GOOGLEFINANCE (""Currency:USDRON""))/D17)+F17)"),0.0991468211365058)</f>
        <v>9.9146821136505803E-2</v>
      </c>
      <c r="F17" s="300" t="e">
        <f>Divident_all!#REF!</f>
        <v>#REF!</v>
      </c>
      <c r="G17" s="301">
        <f ca="1">IFERROR(__xludf.DUMMYFUNCTION("H17/GOOGLEFINANCE (""Currency:USDRON"")"),5.56284906877906)</f>
        <v>5.5628490687790597</v>
      </c>
      <c r="H17" s="303">
        <v>25</v>
      </c>
      <c r="I17" s="304" t="e">
        <f t="shared" si="8"/>
        <v>#REF!</v>
      </c>
      <c r="J17" s="301" t="e">
        <f t="shared" ca="1" si="6"/>
        <v>#REF!</v>
      </c>
      <c r="K17" s="305">
        <f ca="1">IFERROR(__xludf.DUMMYFUNCTION("(F17*C17)/100*GOOGLEFINANCE (""Currency:USDRON"")"),0.4539026259352)</f>
        <v>0.45390262593519998</v>
      </c>
      <c r="L17" s="306">
        <f ca="1">IFERROR(__xludf.DUMMYFUNCTION("(((H17/GOOGLEFINANCE (""Currency:USDRON""))/D17)*C17)/100*GOOGLEFINANCE (""Currency:USDRON"")"),0.218916724657852)</f>
        <v>0.218916724657852</v>
      </c>
      <c r="M17" s="307">
        <f t="shared" ca="1" si="2"/>
        <v>0.48229887237776187</v>
      </c>
      <c r="N17" s="308" t="e">
        <f>Divident_all!#REF!</f>
        <v>#REF!</v>
      </c>
      <c r="O17" s="308" t="e">
        <f>Divident_all!#REF!</f>
        <v>#REF!</v>
      </c>
      <c r="P17" s="309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290" t="e">
        <f>Divident_all!#REF!</f>
        <v>#REF!</v>
      </c>
      <c r="C18" s="290" t="e">
        <f>Divident_all!#REF!</f>
        <v>#REF!</v>
      </c>
      <c r="D18" s="291" t="e">
        <f>Divident_all!#REF!</f>
        <v>#REF!</v>
      </c>
      <c r="E18" s="292">
        <f ca="1">IFERROR(__xludf.DUMMYFUNCTION("(((H18/GOOGLEFINANCE (""Currency:USDRON""))/D18)+F18)"),0.522120274243415)</f>
        <v>0.52212027424341501</v>
      </c>
      <c r="F18" s="290" t="e">
        <f>Divident_all!#REF!</f>
        <v>#REF!</v>
      </c>
      <c r="G18" s="291">
        <f ca="1">IFERROR(__xludf.DUMMYFUNCTION("H18/GOOGLEFINANCE (""Currency:USDRON"")"),5.56284906877906)</f>
        <v>5.5628490687790597</v>
      </c>
      <c r="H18" s="293">
        <v>25</v>
      </c>
      <c r="I18" s="294" t="e">
        <f t="shared" si="8"/>
        <v>#REF!</v>
      </c>
      <c r="J18" s="291" t="e">
        <f t="shared" ca="1" si="6"/>
        <v>#REF!</v>
      </c>
      <c r="K18" s="295">
        <f ca="1">IFERROR(__xludf.DUMMYFUNCTION("(F18*C18)/100*GOOGLEFINANCE (""Currency:USDRON"")"),0.551178130502999)</f>
        <v>0.55117813050299902</v>
      </c>
      <c r="L18" s="296">
        <f ca="1">IFERROR(__xludf.DUMMYFUNCTION("(((H18/GOOGLEFINANCE (""Currency:USDRON""))/D18)*C18)/100*GOOGLEFINANCE (""Currency:USDRON"")"),0.223153908574519)</f>
        <v>0.223153908574519</v>
      </c>
      <c r="M18" s="297">
        <f t="shared" ca="1" si="2"/>
        <v>0.40486713137705815</v>
      </c>
      <c r="N18" s="298" t="e">
        <f>Divident_all!#REF!</f>
        <v>#REF!</v>
      </c>
      <c r="O18" s="298" t="e">
        <f>Divident_all!#REF!</f>
        <v>#REF!</v>
      </c>
      <c r="P18" s="299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269" t="e">
        <f>Divident_all!#REF!</f>
        <v>#REF!</v>
      </c>
      <c r="C19" s="269" t="e">
        <f>Divident_all!#REF!</f>
        <v>#REF!</v>
      </c>
      <c r="D19" s="270" t="e">
        <f>Divident_all!#REF!</f>
        <v>#REF!</v>
      </c>
      <c r="E19" s="271">
        <f ca="1">IFERROR(__xludf.DUMMYFUNCTION("(((H19/GOOGLEFINANCE (""Currency:USDRON""))/D19)+F19)"),1.95746323483297)</f>
        <v>1.9574632348329699</v>
      </c>
      <c r="F19" s="269" t="e">
        <f>Divident_all!#REF!</f>
        <v>#REF!</v>
      </c>
      <c r="G19" s="270">
        <f ca="1">IFERROR(__xludf.DUMMYFUNCTION("H19/GOOGLEFINANCE (""Currency:USDRON"")"),5.56284906877906)</f>
        <v>5.5628490687790597</v>
      </c>
      <c r="H19" s="272">
        <v>25</v>
      </c>
      <c r="I19" s="273" t="e">
        <f t="shared" si="8"/>
        <v>#REF!</v>
      </c>
      <c r="J19" s="270" t="e">
        <f t="shared" ca="1" si="6"/>
        <v>#REF!</v>
      </c>
      <c r="K19" s="319">
        <f ca="1">IFERROR(__xludf.DUMMYFUNCTION("(F19*C19)/100*GOOGLEFINANCE (""Currency:USDRON"")"),2.2457488456975)</f>
        <v>2.2457488456974999</v>
      </c>
      <c r="L19" s="275">
        <f ca="1">IFERROR(__xludf.DUMMYFUNCTION("(((H19/GOOGLEFINANCE (""Currency:USDRON""))/D19)*C19)/100*GOOGLEFINANCE (""Currency:USDRON"")"),0.173435923309788)</f>
        <v>0.17343592330978799</v>
      </c>
      <c r="M19" s="488">
        <f t="shared" ca="1" si="2"/>
        <v>7.7228548349056861E-2</v>
      </c>
      <c r="N19" s="277" t="e">
        <f>Divident_all!#REF!</f>
        <v>#REF!</v>
      </c>
      <c r="O19" s="277" t="e">
        <f>Divident_all!#REF!</f>
        <v>#REF!</v>
      </c>
      <c r="P19" s="278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407" t="e">
        <f>Divident_all!#REF!</f>
        <v>#REF!</v>
      </c>
      <c r="C20" s="407" t="e">
        <f>Divident_all!#REF!</f>
        <v>#REF!</v>
      </c>
      <c r="D20" s="408" t="e">
        <f>Divident_all!#REF!</f>
        <v>#REF!</v>
      </c>
      <c r="E20" s="409">
        <f ca="1">IFERROR(__xludf.DUMMYFUNCTION("(((H20/GOOGLEFINANCE (""Currency:USDRON""))/D20)+F20)"),0.0638903468463638)</f>
        <v>6.3890346846363799E-2</v>
      </c>
      <c r="F20" s="407" t="e">
        <f>Divident_all!#REF!</f>
        <v>#REF!</v>
      </c>
      <c r="G20" s="408">
        <f ca="1">IFERROR(__xludf.DUMMYFUNCTION("H20/GOOGLEFINANCE (""Currency:USDRON"")"),5.56284906877906)</f>
        <v>5.5628490687790597</v>
      </c>
      <c r="H20" s="410">
        <v>25</v>
      </c>
      <c r="I20" s="411" t="e">
        <f t="shared" si="8"/>
        <v>#REF!</v>
      </c>
      <c r="J20" s="408" t="e">
        <f t="shared" ca="1" si="6"/>
        <v>#REF!</v>
      </c>
      <c r="K20" s="500">
        <f ca="1">IFERROR(__xludf.DUMMYFUNCTION("(F20*C20)/100*GOOGLEFINANCE (""Currency:USDRON"")"),0.282778416338599)</f>
        <v>0.28277841633859901</v>
      </c>
      <c r="L20" s="413">
        <f ca="1">IFERROR(__xludf.DUMMYFUNCTION("(((H20/GOOGLEFINANCE (""Currency:USDRON""))/D20)*C20)/100*GOOGLEFINANCE (""Currency:USDRON"")"),0.168015067848122)</f>
        <v>0.16801506784812201</v>
      </c>
      <c r="M20" s="414">
        <f t="shared" ca="1" si="2"/>
        <v>0.59415803378338705</v>
      </c>
      <c r="N20" s="415" t="e">
        <f>Divident_all!#REF!</f>
        <v>#REF!</v>
      </c>
      <c r="O20" s="415" t="e">
        <f>Divident_all!#REF!</f>
        <v>#REF!</v>
      </c>
      <c r="P20" s="416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407" t="e">
        <f>Divident_all!#REF!</f>
        <v>#REF!</v>
      </c>
      <c r="C21" s="407" t="e">
        <f>Divident_all!#REF!</f>
        <v>#REF!</v>
      </c>
      <c r="D21" s="408" t="e">
        <f>Divident_all!#REF!</f>
        <v>#REF!</v>
      </c>
      <c r="E21" s="409">
        <f ca="1">IFERROR(__xludf.DUMMYFUNCTION("(((H21/GOOGLEFINANCE (""Currency:USDRON""))/D21)+F21)"),0.16181971902528)</f>
        <v>0.16181971902528</v>
      </c>
      <c r="F21" s="407" t="e">
        <f>Divident_all!#REF!</f>
        <v>#REF!</v>
      </c>
      <c r="G21" s="408">
        <f ca="1">IFERROR(__xludf.DUMMYFUNCTION("H21/GOOGLEFINANCE (""Currency:USDRON"")"),4.45027925502325)</f>
        <v>4.4502792550232497</v>
      </c>
      <c r="H21" s="410">
        <v>20</v>
      </c>
      <c r="I21" s="411" t="e">
        <f t="shared" si="8"/>
        <v>#REF!</v>
      </c>
      <c r="J21" s="408" t="e">
        <f t="shared" ca="1" si="6"/>
        <v>#REF!</v>
      </c>
      <c r="K21" s="412">
        <f ca="1">IFERROR(__xludf.DUMMYFUNCTION("(F21*C21)/100*GOOGLEFINANCE (""Currency:USDRON"")"),0.257735556416)</f>
        <v>0.25773555641599999</v>
      </c>
      <c r="L21" s="413">
        <f ca="1">IFERROR(__xludf.DUMMYFUNCTION("(((H21/GOOGLEFINANCE (""Currency:USDRON""))/D21)*C21)/100*GOOGLEFINANCE (""Currency:USDRON"")"),0.120426123205187)</f>
        <v>0.120426123205187</v>
      </c>
      <c r="M21" s="499">
        <f t="shared" ca="1" si="2"/>
        <v>0.46724683578703563</v>
      </c>
      <c r="N21" s="415" t="e">
        <f>Divident_all!#REF!</f>
        <v>#REF!</v>
      </c>
      <c r="O21" s="415" t="e">
        <f>Divident_all!#REF!</f>
        <v>#REF!</v>
      </c>
      <c r="P21" s="416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80" t="e">
        <f>Divident_all!#REF!</f>
        <v>#REF!</v>
      </c>
      <c r="C22" s="380" t="e">
        <f>Divident_all!#REF!</f>
        <v>#REF!</v>
      </c>
      <c r="D22" s="381" t="e">
        <f>Divident_all!#REF!</f>
        <v>#REF!</v>
      </c>
      <c r="E22" s="382">
        <f ca="1">IFERROR(__xludf.DUMMYFUNCTION("(((H22/GOOGLEFINANCE (""Currency:USDRON""))/D22)+F22)"),0.106661678777189)</f>
        <v>0.106661678777189</v>
      </c>
      <c r="F22" s="380" t="e">
        <f>Divident_all!#REF!</f>
        <v>#REF!</v>
      </c>
      <c r="G22" s="381">
        <f ca="1">IFERROR(__xludf.DUMMYFUNCTION("H22/GOOGLEFINANCE (""Currency:USDRON"")"),3.33770944126743)</f>
        <v>3.33770944126743</v>
      </c>
      <c r="H22" s="94">
        <v>15</v>
      </c>
      <c r="I22" s="383" t="e">
        <f t="shared" si="8"/>
        <v>#REF!</v>
      </c>
      <c r="J22" s="381" t="e">
        <f t="shared" ca="1" si="6"/>
        <v>#REF!</v>
      </c>
      <c r="K22" s="384">
        <f ca="1">IFERROR(__xludf.DUMMYFUNCTION("(F22*C22)/100*GOOGLEFINANCE (""Currency:USDRON"")"),0.125169808022999)</f>
        <v>0.12516980802299901</v>
      </c>
      <c r="L22" s="385">
        <f ca="1">IFERROR(__xludf.DUMMYFUNCTION("(((H22/GOOGLEFINANCE (""Currency:USDRON""))/D22)*C22)/100*GOOGLEFINANCE (""Currency:USDRON"")"),0.0653711215875452)</f>
        <v>6.5371121587545197E-2</v>
      </c>
      <c r="M22" s="479">
        <f t="shared" ca="1" si="2"/>
        <v>0.52225950187231851</v>
      </c>
      <c r="N22" s="387" t="e">
        <f>Divident_all!#REF!</f>
        <v>#REF!</v>
      </c>
      <c r="O22" s="387" t="e">
        <f>Divident_all!#REF!</f>
        <v>#REF!</v>
      </c>
      <c r="P22" s="388" t="e">
        <f>Divident_all!#REF!</f>
        <v>#REF!</v>
      </c>
      <c r="Q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269" t="e">
        <f>Divident_all!#REF!</f>
        <v>#REF!</v>
      </c>
      <c r="C23" s="269" t="e">
        <f>Divident_all!#REF!</f>
        <v>#REF!</v>
      </c>
      <c r="D23" s="270" t="e">
        <f>Divident_all!#REF!</f>
        <v>#REF!</v>
      </c>
      <c r="E23" s="271">
        <f ca="1">IFERROR(__xludf.DUMMYFUNCTION("(((H23/GOOGLEFINANCE (""Currency:USDRON""))/D23)+F23)"),0.822471637341902)</f>
        <v>0.82247163734190198</v>
      </c>
      <c r="F23" s="269" t="e">
        <f>Divident_all!#REF!</f>
        <v>#REF!</v>
      </c>
      <c r="G23" s="270">
        <f ca="1">IFERROR(__xludf.DUMMYFUNCTION("H23/GOOGLEFINANCE (""Currency:USDRON"")"),3.33770944126743)</f>
        <v>3.33770944126743</v>
      </c>
      <c r="H23" s="272">
        <v>15</v>
      </c>
      <c r="I23" s="273" t="e">
        <f t="shared" si="8"/>
        <v>#REF!</v>
      </c>
      <c r="J23" s="270" t="e">
        <f t="shared" ca="1" si="6"/>
        <v>#REF!</v>
      </c>
      <c r="K23" s="319">
        <f ca="1">IFERROR(__xludf.DUMMYFUNCTION("(F23*C23)/100*GOOGLEFINANCE (""Currency:USDRON"")"),0.879606554033999)</f>
        <v>0.87960655403399901</v>
      </c>
      <c r="L23" s="275">
        <f ca="1">IFERROR(__xludf.DUMMYFUNCTION("(((H23/GOOGLEFINANCE (""Currency:USDRON""))/D23)*C23)/100*GOOGLEFINANCE (""Currency:USDRON"")"),0.0629422412374526)</f>
        <v>6.2942241237452595E-2</v>
      </c>
      <c r="M23" s="488">
        <f t="shared" ca="1" si="2"/>
        <v>7.1557267222249143E-2</v>
      </c>
      <c r="N23" s="277" t="e">
        <f>Divident_all!#REF!</f>
        <v>#REF!</v>
      </c>
      <c r="O23" s="277" t="e">
        <f>Divident_all!#REF!</f>
        <v>#REF!</v>
      </c>
      <c r="P23" s="278" t="e">
        <f>Divident_all!#REF!</f>
        <v>#REF!</v>
      </c>
      <c r="Q23" s="166"/>
      <c r="R23" s="279"/>
    </row>
    <row r="24" spans="1:33" ht="12.75">
      <c r="A24" s="166"/>
      <c r="B24" s="407" t="e">
        <f>Divident_all!#REF!</f>
        <v>#REF!</v>
      </c>
      <c r="C24" s="407" t="e">
        <f>Divident_all!#REF!</f>
        <v>#REF!</v>
      </c>
      <c r="D24" s="408" t="e">
        <f>Divident_all!#REF!</f>
        <v>#REF!</v>
      </c>
      <c r="E24" s="409">
        <f ca="1">IFERROR(__xludf.DUMMYFUNCTION("(((H24/GOOGLEFINANCE (""Currency:USDRON""))/D24)+F24)"),0.0320772323000452)</f>
        <v>3.2077232300045201E-2</v>
      </c>
      <c r="F24" s="407" t="e">
        <f>Divident_all!#REF!</f>
        <v>#REF!</v>
      </c>
      <c r="G24" s="408">
        <f ca="1">IFERROR(__xludf.DUMMYFUNCTION("H24/GOOGLEFINANCE (""Currency:USDRON"")"),3.33770944126743)</f>
        <v>3.33770944126743</v>
      </c>
      <c r="H24" s="410">
        <v>15</v>
      </c>
      <c r="I24" s="411" t="e">
        <f t="shared" si="8"/>
        <v>#REF!</v>
      </c>
      <c r="J24" s="408" t="e">
        <f t="shared" ca="1" si="6"/>
        <v>#REF!</v>
      </c>
      <c r="K24" s="412">
        <f ca="1">IFERROR(__xludf.DUMMYFUNCTION("(F24*C24)/100*GOOGLEFINANCE (""Currency:USDRON"")"),0.1292128981234)</f>
        <v>0.12921289812340001</v>
      </c>
      <c r="L24" s="413">
        <f ca="1">IFERROR(__xludf.DUMMYFUNCTION("(((H24/GOOGLEFINANCE (""Currency:USDRON""))/D24)*C24)/100*GOOGLEFINANCE (""Currency:USDRON"")"),0.0625176271505123)</f>
        <v>6.2517627150512303E-2</v>
      </c>
      <c r="M24" s="499">
        <f t="shared" ca="1" si="2"/>
        <v>0.48383426158282705</v>
      </c>
      <c r="N24" s="415" t="e">
        <f>Divident_all!#REF!</f>
        <v>#REF!</v>
      </c>
      <c r="O24" s="415" t="e">
        <f>Divident_all!#REF!</f>
        <v>#REF!</v>
      </c>
      <c r="P24" s="416" t="e">
        <f>Divident_all!#REF!</f>
        <v>#REF!</v>
      </c>
      <c r="Q24" s="166"/>
      <c r="R24" s="279"/>
    </row>
    <row r="25" spans="1:33" ht="12.75">
      <c r="A25" s="166"/>
      <c r="B25" s="355" t="e">
        <f>Divident_all!#REF!</f>
        <v>#REF!</v>
      </c>
      <c r="C25" s="355" t="e">
        <f>Divident_all!#REF!</f>
        <v>#REF!</v>
      </c>
      <c r="D25" s="356" t="e">
        <f>Divident_all!#REF!</f>
        <v>#REF!</v>
      </c>
      <c r="E25" s="357">
        <f ca="1">IFERROR(__xludf.DUMMYFUNCTION("(((H25/GOOGLEFINANCE (""Currency:USDRON""))/D25)+F25)"),0.0773038090870566)</f>
        <v>7.7303809087056599E-2</v>
      </c>
      <c r="F25" s="355" t="e">
        <f>Divident_all!#REF!</f>
        <v>#REF!</v>
      </c>
      <c r="G25" s="356">
        <f ca="1">IFERROR(__xludf.DUMMYFUNCTION("H25/GOOGLEFINANCE (""Currency:usdRON"")"),3.33770944126743)</f>
        <v>3.33770944126743</v>
      </c>
      <c r="H25" s="358">
        <v>15</v>
      </c>
      <c r="I25" s="359" t="e">
        <f t="shared" si="8"/>
        <v>#REF!</v>
      </c>
      <c r="J25" s="356" t="e">
        <f t="shared" ca="1" si="6"/>
        <v>#REF!</v>
      </c>
      <c r="K25" s="360">
        <f ca="1">IFERROR(__xludf.DUMMYFUNCTION("(F25*C25)/100*GOOGLEFINANCE (""Currency:usdRON"")"),0.197151565041599)</f>
        <v>0.197151565041599</v>
      </c>
      <c r="L25" s="361">
        <f ca="1">IFERROR(__xludf.DUMMYFUNCTION("(((H25/GOOGLEFINANCE (""Currency:usdRON""))/D25)*C25)/100*GOOGLEFINANCE (""Currency:usdRON"")"),0.0390879478827361)</f>
        <v>3.9087947882736097E-2</v>
      </c>
      <c r="M25" s="521">
        <f t="shared" ca="1" si="2"/>
        <v>0.19826344200964641</v>
      </c>
      <c r="N25" s="363" t="e">
        <f>Divident_all!#REF!</f>
        <v>#REF!</v>
      </c>
      <c r="O25" s="363" t="e">
        <f>Divident_all!#REF!</f>
        <v>#REF!</v>
      </c>
      <c r="P25" s="364" t="e">
        <f>Divident_all!#REF!</f>
        <v>#REF!</v>
      </c>
      <c r="Q25" s="166"/>
      <c r="R25" s="279"/>
    </row>
    <row r="26" spans="1:33" ht="12.75">
      <c r="A26" s="166"/>
      <c r="B26" s="355" t="e">
        <f>Divident_all!#REF!</f>
        <v>#REF!</v>
      </c>
      <c r="C26" s="355" t="e">
        <f>Divident_all!#REF!</f>
        <v>#REF!</v>
      </c>
      <c r="D26" s="356" t="e">
        <f>Divident_all!#REF!</f>
        <v>#REF!</v>
      </c>
      <c r="E26" s="357">
        <f ca="1">IFERROR(__xludf.DUMMYFUNCTION("(((H26/GOOGLEFINANCE (""Currency:USDRON""))/D26)+F26)"),0.0723302293763539)</f>
        <v>7.2330229376353902E-2</v>
      </c>
      <c r="F26" s="355" t="e">
        <f>Divident_all!#REF!</f>
        <v>#REF!</v>
      </c>
      <c r="G26" s="356">
        <f ca="1">IFERROR(__xludf.DUMMYFUNCTION("H26/GOOGLEFINANCE (""Currency:USDRON"")"),3.33770944126743)</f>
        <v>3.33770944126743</v>
      </c>
      <c r="H26" s="358">
        <v>15</v>
      </c>
      <c r="I26" s="359" t="e">
        <f t="shared" si="8"/>
        <v>#REF!</v>
      </c>
      <c r="J26" s="356" t="e">
        <f t="shared" ca="1" si="6"/>
        <v>#REF!</v>
      </c>
      <c r="K26" s="360">
        <f ca="1">IFERROR(__xludf.DUMMYFUNCTION("(F26*C26)/100*GOOGLEFINANCE (""Currency:USDRON"")"),0.0538811221182)</f>
        <v>5.3881122118200002E-2</v>
      </c>
      <c r="L26" s="361">
        <f ca="1">IFERROR(__xludf.DUMMYFUNCTION("(((H26/GOOGLEFINANCE (""Currency:USDRON""))/D26)*C26)/100*GOOGLEFINANCE (""Currency:USDRON"")"),0.0208825131650626)</f>
        <v>2.0882513165062601E-2</v>
      </c>
      <c r="M26" s="521">
        <f t="shared" ca="1" si="2"/>
        <v>0.38756641183626894</v>
      </c>
      <c r="N26" s="363" t="e">
        <f>Divident_all!#REF!</f>
        <v>#REF!</v>
      </c>
      <c r="O26" s="363" t="e">
        <f>Divident_all!#REF!</f>
        <v>#REF!</v>
      </c>
      <c r="P26" s="364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45</v>
      </c>
      <c r="L2" s="264">
        <f ca="1">((L4*4)*100)/(500+K2)</f>
        <v>4.7500824684504677</v>
      </c>
      <c r="M2" s="12">
        <v>15</v>
      </c>
      <c r="N2" s="12"/>
      <c r="O2" s="12"/>
      <c r="P2" s="12"/>
    </row>
    <row r="3" spans="1:33" ht="15.75" customHeight="1">
      <c r="A3" s="265" t="s">
        <v>8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AVERAGE(C5:C26)</f>
        <v>#REF!</v>
      </c>
      <c r="D4" s="118" t="e">
        <f t="shared" ca="1" si="0"/>
        <v>#REF!</v>
      </c>
      <c r="E4" s="267">
        <f t="shared" ca="1" si="0"/>
        <v>0.49618444085759755</v>
      </c>
      <c r="F4" s="116"/>
      <c r="G4" s="247">
        <f ca="1">SUM(G5:G26)</f>
        <v>124.60781914065093</v>
      </c>
      <c r="H4" s="116">
        <f>500+K2+M2-SUM(H5:H26)</f>
        <v>0</v>
      </c>
      <c r="I4" s="118"/>
      <c r="J4" s="118" t="e">
        <f t="shared" ref="J4:L4" ca="1" si="1">SUM(J5:J26)</f>
        <v>#REF!</v>
      </c>
      <c r="K4" s="123">
        <f t="shared" ca="1" si="1"/>
        <v>22.983784958543946</v>
      </c>
      <c r="L4" s="123">
        <f t="shared" ca="1" si="1"/>
        <v>6.4719873632637626</v>
      </c>
      <c r="M4" s="117">
        <f t="shared" ref="M4:M26" ca="1" si="2">L4/K4</f>
        <v>0.28158927587154781</v>
      </c>
      <c r="N4" s="125"/>
      <c r="O4" s="125"/>
      <c r="P4" s="126"/>
    </row>
    <row r="5" spans="1:33" ht="12.75">
      <c r="A5" s="166"/>
      <c r="B5" s="280" t="str">
        <f>Divident_all!B3</f>
        <v>AMD</v>
      </c>
      <c r="C5" s="280">
        <f>Divident_all!D3</f>
        <v>62.5</v>
      </c>
      <c r="D5" s="281">
        <f ca="1">Divident_all!E3</f>
        <v>20.89</v>
      </c>
      <c r="E5" s="282">
        <f ca="1">IFERROR(__xludf.DUMMYFUNCTION("(((H5/GOOGLEFINANCE (""Currency:USDRON""))/D5)+F5)"),1.38098641581094)</f>
        <v>1.3809864158109399</v>
      </c>
      <c r="F5" s="280">
        <f>Divident_all!I3</f>
        <v>1.0081769999999999</v>
      </c>
      <c r="G5" s="281">
        <f ca="1">IFERROR(__xludf.DUMMYFUNCTION("H5/GOOGLEFINANCE (""Currency:USDRON"")"),7.78798869629069)</f>
        <v>7.7879886962906903</v>
      </c>
      <c r="H5" s="283">
        <v>35</v>
      </c>
      <c r="I5" s="284">
        <f t="shared" ref="I5:I11" ca="1" si="3">D5/C5</f>
        <v>0.33423999999999998</v>
      </c>
      <c r="J5" s="281">
        <f t="shared" ref="J5:J26" ca="1" si="4">((E5*C5)/100)</f>
        <v>0.86311650988183741</v>
      </c>
      <c r="K5" s="285">
        <f ca="1">IFERROR(__xludf.DUMMYFUNCTION("(F5*C5)/100*GOOGLEFINANCE (""Currency:USDRON"")"),2.83178015981249)</f>
        <v>2.8317801598124901</v>
      </c>
      <c r="L5" s="286">
        <f ca="1">IFERROR(__xludf.DUMMYFUNCTION("(((H5/GOOGLEFINANCE (""Currency:USDRON""))/D5)*C5)/100*GOOGLEFINANCE (""Currency:USDRON"")"),1.04715174724748)</f>
        <v>1.0471517472474801</v>
      </c>
      <c r="M5" s="287">
        <f t="shared" ca="1" si="2"/>
        <v>0.36978567831932918</v>
      </c>
      <c r="N5" s="288" t="str">
        <f>Divident_all!M3</f>
        <v>Consumer Cyclical</v>
      </c>
      <c r="O5" s="288" t="str">
        <f>Divident_all!N3</f>
        <v>Auto &amp; Truck Dealerships</v>
      </c>
      <c r="P5" s="289">
        <f>Divident_all!O3</f>
        <v>12584</v>
      </c>
      <c r="R5" s="279"/>
    </row>
    <row r="6" spans="1:33" ht="12.75">
      <c r="A6" s="166"/>
      <c r="B6" s="290" t="e">
        <f>Divident_all!#REF!</f>
        <v>#REF!</v>
      </c>
      <c r="C6" s="290" t="e">
        <f>Divident_all!#REF!</f>
        <v>#REF!</v>
      </c>
      <c r="D6" s="291" t="e">
        <f>Divident_all!#REF!</f>
        <v>#REF!</v>
      </c>
      <c r="E6" s="292">
        <f ca="1">IFERROR(__xludf.DUMMYFUNCTION("(((H6/GOOGLEFINANCE (""Currency:USDRON""))/D6)+F6)"),0.719058114729973)</f>
        <v>0.71905811472997305</v>
      </c>
      <c r="F6" s="290" t="e">
        <f>Divident_all!#REF!</f>
        <v>#REF!</v>
      </c>
      <c r="G6" s="291">
        <f ca="1">IFERROR(__xludf.DUMMYFUNCTION("H6/GOOGLEFINANCE (""Currency:USDRON"")"),7.78798869629069)</f>
        <v>7.7879886962906903</v>
      </c>
      <c r="H6" s="293">
        <v>35</v>
      </c>
      <c r="I6" s="294" t="e">
        <f t="shared" si="3"/>
        <v>#REF!</v>
      </c>
      <c r="J6" s="291" t="e">
        <f t="shared" ca="1" si="4"/>
        <v>#REF!</v>
      </c>
      <c r="K6" s="295">
        <f ca="1">IFERROR(__xludf.DUMMYFUNCTION("(F6*C6)/100*GOOGLEFINANCE (""Currency:USDRON"")"),2.30700390057799)</f>
        <v>2.3070039005779899</v>
      </c>
      <c r="L6" s="296">
        <f ca="1">IFERROR(__xludf.DUMMYFUNCTION("(((H6/GOOGLEFINANCE (""Currency:USDRON""))/D6)*C6)/100*GOOGLEFINANCE (""Currency:USDRON"")"),0.730624028425493)</f>
        <v>0.73062402842549301</v>
      </c>
      <c r="M6" s="297">
        <f t="shared" ca="1" si="2"/>
        <v>0.31669821981767982</v>
      </c>
      <c r="N6" s="298" t="e">
        <f>Divident_all!#REF!</f>
        <v>#REF!</v>
      </c>
      <c r="O6" s="298" t="e">
        <f>Divident_all!#REF!</f>
        <v>#REF!</v>
      </c>
      <c r="P6" s="299" t="e">
        <f>Divident_all!#REF!</f>
        <v>#REF!</v>
      </c>
      <c r="Q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320" t="e">
        <f>Divident_all!#REF!</f>
        <v>#REF!</v>
      </c>
      <c r="C7" s="320" t="e">
        <f>Divident_all!#REF!</f>
        <v>#REF!</v>
      </c>
      <c r="D7" s="321" t="e">
        <f>Divident_all!#REF!</f>
        <v>#REF!</v>
      </c>
      <c r="E7" s="322">
        <f ca="1">IFERROR(__xludf.DUMMYFUNCTION("(((H7/GOOGLEFINANCE (""Currency:USDRON""))/D7)+F7)"),1.88284733997865)</f>
        <v>1.8828473399786501</v>
      </c>
      <c r="F7" s="320" t="e">
        <f>Divident_all!#REF!</f>
        <v>#REF!</v>
      </c>
      <c r="G7" s="321">
        <f ca="1">IFERROR(__xludf.DUMMYFUNCTION("H7/GOOGLEFINANCE (""Currency:USDRON"")"),6.67541888253487)</f>
        <v>6.6754188825348697</v>
      </c>
      <c r="H7" s="293">
        <v>30</v>
      </c>
      <c r="I7" s="323" t="e">
        <f t="shared" si="3"/>
        <v>#REF!</v>
      </c>
      <c r="J7" s="321" t="e">
        <f t="shared" ca="1" si="4"/>
        <v>#REF!</v>
      </c>
      <c r="K7" s="324">
        <f ca="1">IFERROR(__xludf.DUMMYFUNCTION("(F7*C7)/100*GOOGLEFINANCE (""Currency:USDRON"")"),1.39063641748199)</f>
        <v>1.3906364174819901</v>
      </c>
      <c r="L7" s="325">
        <f ca="1">IFERROR(__xludf.DUMMYFUNCTION("(((H7/GOOGLEFINANCE (""Currency:USDRON""))/D7)*C7)/100*GOOGLEFINANCE (""Currency:USDRON"")"),0.555555555555555)</f>
        <v>0.55555555555555503</v>
      </c>
      <c r="M7" s="524">
        <f t="shared" ca="1" si="2"/>
        <v>0.39949734421704081</v>
      </c>
      <c r="N7" s="326" t="e">
        <f>Divident_all!#REF!</f>
        <v>#REF!</v>
      </c>
      <c r="O7" s="326" t="e">
        <f>Divident_all!#REF!</f>
        <v>#REF!</v>
      </c>
      <c r="P7" s="327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300" t="e">
        <f>Divident_all!#REF!</f>
        <v>#REF!</v>
      </c>
      <c r="C8" s="300" t="e">
        <f>Divident_all!#REF!+Divident_special!C20</f>
        <v>#REF!</v>
      </c>
      <c r="D8" s="301" t="e">
        <f>Divident_all!#REF!</f>
        <v>#REF!</v>
      </c>
      <c r="E8" s="302">
        <f ca="1">IFERROR(__xludf.DUMMYFUNCTION("(((H8/GOOGLEFINANCE (""Currency:USDRON""))/D8)+F8)"),0.565301940440482)</f>
        <v>0.56530194044048199</v>
      </c>
      <c r="F8" s="300" t="e">
        <f>Divident_all!#REF!</f>
        <v>#REF!</v>
      </c>
      <c r="G8" s="301">
        <f ca="1">IFERROR(__xludf.DUMMYFUNCTION("H8/GOOGLEFINANCE (""Currency:USDRON"")"),6.67541888253487)</f>
        <v>6.6754188825348697</v>
      </c>
      <c r="H8" s="303">
        <v>30</v>
      </c>
      <c r="I8" s="304" t="e">
        <f t="shared" si="3"/>
        <v>#REF!</v>
      </c>
      <c r="J8" s="301" t="e">
        <f t="shared" ca="1" si="4"/>
        <v>#REF!</v>
      </c>
      <c r="K8" s="305">
        <f ca="1">IFERROR(__xludf.DUMMYFUNCTION("(F8*C8)/100*GOOGLEFINANCE (""Currency:USDRON"")"),1.78171219054399)</f>
        <v>1.7817121905439901</v>
      </c>
      <c r="L8" s="306">
        <f ca="1">IFERROR(__xludf.DUMMYFUNCTION("(((H8/GOOGLEFINANCE (""Currency:USDRON""))/D8)*C8)/100*GOOGLEFINANCE (""Currency:USDRON"")"),0.479353680430879)</f>
        <v>0.479353680430879</v>
      </c>
      <c r="M8" s="307">
        <f t="shared" ca="1" si="2"/>
        <v>0.26904102860997059</v>
      </c>
      <c r="N8" s="308" t="e">
        <f>Divident_all!#REF!</f>
        <v>#REF!</v>
      </c>
      <c r="O8" s="308" t="e">
        <f>Divident_all!#REF!</f>
        <v>#REF!</v>
      </c>
      <c r="P8" s="30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10" t="e">
        <f>Divident_all!#REF!</f>
        <v>#REF!</v>
      </c>
      <c r="C9" s="310" t="e">
        <f>Divident_all!#REF!</f>
        <v>#REF!</v>
      </c>
      <c r="D9" s="311" t="e">
        <f>Divident_all!#REF!</f>
        <v>#REF!</v>
      </c>
      <c r="E9" s="312">
        <f ca="1">IFERROR(__xludf.DUMMYFUNCTION("(((H9/GOOGLEFINANCE (""Currency:USDRON""))/D9)+F9)"),0.246406480425203)</f>
        <v>0.24640648042520299</v>
      </c>
      <c r="F9" s="310" t="e">
        <f>Divident_all!#REF!</f>
        <v>#REF!</v>
      </c>
      <c r="G9" s="311">
        <f ca="1">IFERROR(__xludf.DUMMYFUNCTION("H9/GOOGLEFINANCE (""Currency:usdRON"")"),6.67541888253487)</f>
        <v>6.6754188825348697</v>
      </c>
      <c r="H9" s="313">
        <v>30</v>
      </c>
      <c r="I9" s="314" t="e">
        <f t="shared" si="3"/>
        <v>#REF!</v>
      </c>
      <c r="J9" s="311" t="e">
        <f t="shared" ca="1" si="4"/>
        <v>#REF!</v>
      </c>
      <c r="K9" s="315">
        <f ca="1">IFERROR(__xludf.DUMMYFUNCTION("(F9*C9)/100*GOOGLEFINANCE (""Currency:usdRON"")"),1.491230284596)</f>
        <v>1.4912302845959999</v>
      </c>
      <c r="L9" s="316">
        <f ca="1">IFERROR(__xludf.DUMMYFUNCTION("(((H9/GOOGLEFINANCE (""Currency:usdRON""))/D9)*C9)/100*GOOGLEFINANCE (""Currency:usdRON"")"),0.502045370026032)</f>
        <v>0.502045370026032</v>
      </c>
      <c r="M9" s="276">
        <f t="shared" ca="1" si="2"/>
        <v>0.3366652187874824</v>
      </c>
      <c r="N9" s="317" t="e">
        <f>Divident_all!#REF!</f>
        <v>#REF!</v>
      </c>
      <c r="O9" s="317" t="e">
        <f>Divident_all!#REF!</f>
        <v>#REF!</v>
      </c>
      <c r="P9" s="318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269" t="e">
        <f>Divident_all!#REF!</f>
        <v>#REF!</v>
      </c>
      <c r="C10" s="269" t="e">
        <f>Divident_all!#REF!</f>
        <v>#REF!</v>
      </c>
      <c r="D10" s="270" t="e">
        <f>Divident_all!#REF!</f>
        <v>#REF!</v>
      </c>
      <c r="E10" s="271">
        <f ca="1">IFERROR(__xludf.DUMMYFUNCTION("(((H10/GOOGLEFINANCE (""Currency:USDRON""))/D10)+F10)"),0.436969674189476)</f>
        <v>0.43696967418947602</v>
      </c>
      <c r="F10" s="269" t="e">
        <f>Divident_all!#REF!</f>
        <v>#REF!</v>
      </c>
      <c r="G10" s="270">
        <f ca="1">IFERROR(__xludf.DUMMYFUNCTION("H10/GOOGLEFINANCE (""Currency:USDRON"")"),6.67541888253487)</f>
        <v>6.6754188825348697</v>
      </c>
      <c r="H10" s="272">
        <v>30</v>
      </c>
      <c r="I10" s="273" t="e">
        <f t="shared" si="3"/>
        <v>#REF!</v>
      </c>
      <c r="J10" s="270" t="e">
        <f t="shared" ca="1" si="4"/>
        <v>#REF!</v>
      </c>
      <c r="K10" s="319">
        <f ca="1">IFERROR(__xludf.DUMMYFUNCTION("(F10*C10)/100*GOOGLEFINANCE (""Currency:USDRON"")"),0.989146736135999)</f>
        <v>0.98914673613599902</v>
      </c>
      <c r="L10" s="275">
        <f ca="1">IFERROR(__xludf.DUMMYFUNCTION("(((H10/GOOGLEFINANCE (""Currency:USDRON""))/D10)*C10)/100*GOOGLEFINANCE (""Currency:USDRON"")"),0.424778761061946)</f>
        <v>0.42477876106194601</v>
      </c>
      <c r="M10" s="276">
        <f t="shared" ca="1" si="2"/>
        <v>0.42943958216078332</v>
      </c>
      <c r="N10" s="277" t="e">
        <f>Divident_all!#REF!</f>
        <v>#REF!</v>
      </c>
      <c r="O10" s="277" t="e">
        <f>Divident_all!#REF!</f>
        <v>#REF!</v>
      </c>
      <c r="P10" s="278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320" t="e">
        <f>Divident_all!#REF!</f>
        <v>#REF!</v>
      </c>
      <c r="C11" s="320" t="e">
        <f>Divident_all!#REF!</f>
        <v>#REF!</v>
      </c>
      <c r="D11" s="321" t="e">
        <f>Divident_all!#REF!</f>
        <v>#REF!</v>
      </c>
      <c r="E11" s="322">
        <f ca="1">IFERROR(__xludf.DUMMYFUNCTION("(((H11/GOOGLEFINANCE (""Currency:USDRON""))/D11)+F11)"),0.249790125075742)</f>
        <v>0.249790125075742</v>
      </c>
      <c r="F11" s="320" t="e">
        <f>Divident_all!#REF!</f>
        <v>#REF!</v>
      </c>
      <c r="G11" s="321">
        <f ca="1">IFERROR(__xludf.DUMMYFUNCTION("H11/GOOGLEFINANCE (""Currency:USDRON"")"),6.67541888253487)</f>
        <v>6.6754188825348697</v>
      </c>
      <c r="H11" s="293">
        <v>30</v>
      </c>
      <c r="I11" s="323" t="e">
        <f t="shared" si="3"/>
        <v>#REF!</v>
      </c>
      <c r="J11" s="321" t="e">
        <f t="shared" ca="1" si="4"/>
        <v>#REF!</v>
      </c>
      <c r="K11" s="324">
        <f ca="1">IFERROR(__xludf.DUMMYFUNCTION("(E11*C11)/100*GOOGLEFINANCE (""Currency:usdRON"")"),1.42567888740067)</f>
        <v>1.4256788874006701</v>
      </c>
      <c r="L11" s="325">
        <f ca="1">IFERROR(__xludf.DUMMYFUNCTION("(((H11/GOOGLEFINANCE (""Currency:usdRON""))/D11)*C11)/100*GOOGLEFINANCE (""Currency:usdRON"")"),0.382991556091676)</f>
        <v>0.38299155609167601</v>
      </c>
      <c r="M11" s="297">
        <f t="shared" ca="1" si="2"/>
        <v>0.2686380218409174</v>
      </c>
      <c r="N11" s="326" t="e">
        <f>Divident_all!#REF!</f>
        <v>#REF!</v>
      </c>
      <c r="O11" s="326" t="e">
        <f>Divident_all!#REF!</f>
        <v>#REF!</v>
      </c>
      <c r="P11" s="327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269" t="e">
        <f>Divident_all!#REF!</f>
        <v>#REF!</v>
      </c>
      <c r="C12" s="269" t="e">
        <f>Divident_all!#REF!</f>
        <v>#REF!</v>
      </c>
      <c r="D12" s="270" t="e">
        <f>Divident_all!#REF!</f>
        <v>#REF!</v>
      </c>
      <c r="E12" s="271">
        <f ca="1">IFERROR(__xludf.DUMMYFUNCTION("(((H12/GOOGLEFINANCE (""Currency:USDRON""))/D12)+F12)"),0.877395274683805)</f>
        <v>0.87739527468380496</v>
      </c>
      <c r="F12" s="269" t="e">
        <f>Divident_all!#REF!</f>
        <v>#REF!</v>
      </c>
      <c r="G12" s="270">
        <f ca="1">IFERROR(__xludf.DUMMYFUNCTION("H12/GOOGLEFINANCE (""Currency:USDRON"")"),6.67541888253487)</f>
        <v>6.6754188825348697</v>
      </c>
      <c r="H12" s="272">
        <v>30</v>
      </c>
      <c r="I12" s="273" t="e">
        <f>D12/(C12*3)</f>
        <v>#REF!</v>
      </c>
      <c r="J12" s="270" t="e">
        <f t="shared" ca="1" si="4"/>
        <v>#REF!</v>
      </c>
      <c r="K12" s="319">
        <f ca="1">IFERROR(__xludf.DUMMYFUNCTION("(F12*C12)/100*GOOGLEFINANCE (""Currency:USDRON"")"),0.879606554033999)</f>
        <v>0.87960655403399901</v>
      </c>
      <c r="L12" s="275">
        <f ca="1">IFERROR(__xludf.DUMMYFUNCTION("(((H12/GOOGLEFINANCE (""Currency:USDRON""))/D12)*C12)/100*GOOGLEFINANCE (""Currency:USDRON"")"),0.125884482474905)</f>
        <v>0.125884482474905</v>
      </c>
      <c r="M12" s="276">
        <f t="shared" ca="1" si="2"/>
        <v>0.14311453444449806</v>
      </c>
      <c r="N12" s="277" t="e">
        <f>Divident_all!#REF!</f>
        <v>#REF!</v>
      </c>
      <c r="O12" s="277" t="e">
        <f>Divident_all!#REF!</f>
        <v>#REF!</v>
      </c>
      <c r="P12" s="278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310" t="e">
        <f>Divident_all!#REF!</f>
        <v>#REF!</v>
      </c>
      <c r="C13" s="310" t="e">
        <f>Divident_all!#REF!</f>
        <v>#REF!</v>
      </c>
      <c r="D13" s="311" t="e">
        <f>Divident_all!#REF!</f>
        <v>#REF!</v>
      </c>
      <c r="E13" s="312">
        <f ca="1">IFERROR(__xludf.DUMMYFUNCTION("(((H13/GOOGLEFINANCE (""Currency:USDRON""))/D13)+F13)"),0.252494340474575)</f>
        <v>0.25249434047457497</v>
      </c>
      <c r="F13" s="310" t="e">
        <f>Divident_all!#REF!</f>
        <v>#REF!</v>
      </c>
      <c r="G13" s="311">
        <f ca="1">IFERROR(__xludf.DUMMYFUNCTION("H13/GOOGLEFINANCE (""Currency:USDRON"")"),6.67541888253487)</f>
        <v>6.6754188825348697</v>
      </c>
      <c r="H13" s="313">
        <v>30</v>
      </c>
      <c r="I13" s="314" t="e">
        <f t="shared" ref="I13:I26" si="5">D13/C13</f>
        <v>#REF!</v>
      </c>
      <c r="J13" s="311" t="e">
        <f t="shared" ca="1" si="4"/>
        <v>#REF!</v>
      </c>
      <c r="K13" s="315">
        <f ca="1">IFERROR(__xludf.DUMMYFUNCTION("(F13*C13)/100*GOOGLEFINANCE (""Currency:USDRON"")"),0.889309387839599)</f>
        <v>0.88930938783959901</v>
      </c>
      <c r="L13" s="316">
        <f ca="1">IFERROR(__xludf.DUMMYFUNCTION("(((H13/GOOGLEFINANCE (""Currency:USDRON""))/D13)*C13)/100*GOOGLEFINANCE (""Currency:USDRON"")"),0.336204212929334)</f>
        <v>0.336204212929334</v>
      </c>
      <c r="M13" s="276">
        <f t="shared" ca="1" si="2"/>
        <v>0.37805089828869964</v>
      </c>
      <c r="N13" s="317" t="e">
        <f>Divident_all!#REF!</f>
        <v>#REF!</v>
      </c>
      <c r="O13" s="317" t="e">
        <f>Divident_all!#REF!</f>
        <v>#REF!</v>
      </c>
      <c r="P13" s="31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28" t="e">
        <f>Divident_all!#REF!</f>
        <v>#REF!</v>
      </c>
      <c r="C14" s="328" t="e">
        <f>Divident_all!#REF!</f>
        <v>#REF!</v>
      </c>
      <c r="D14" s="329" t="e">
        <f>Divident_all!#REF!</f>
        <v>#REF!</v>
      </c>
      <c r="E14" s="330">
        <f ca="1">IFERROR(__xludf.DUMMYFUNCTION("(((H14/GOOGLEFINANCE (""Currency:USDRON""))/D14)+F14)"),0.324227588377636)</f>
        <v>0.32422758837763599</v>
      </c>
      <c r="F14" s="328" t="e">
        <f>Divident_all!#REF!</f>
        <v>#REF!</v>
      </c>
      <c r="G14" s="329">
        <f ca="1">IFERROR(__xludf.DUMMYFUNCTION("H14/GOOGLEFINANCE (""Currency:USDRON"")"),6.67541888253487)</f>
        <v>6.6754188825348697</v>
      </c>
      <c r="H14" s="331">
        <v>30</v>
      </c>
      <c r="I14" s="332" t="e">
        <f t="shared" si="5"/>
        <v>#REF!</v>
      </c>
      <c r="J14" s="329" t="e">
        <f t="shared" ca="1" si="4"/>
        <v>#REF!</v>
      </c>
      <c r="K14" s="333">
        <f ca="1">IFERROR(__xludf.DUMMYFUNCTION("(F14*C14)/100*GOOGLEFINANCE (""Currency:USDRON"")"),1.4545539255078)</f>
        <v>1.4545539255077999</v>
      </c>
      <c r="L14" s="334">
        <f ca="1">IFERROR(__xludf.DUMMYFUNCTION("(((H14/GOOGLEFINANCE (""Currency:USDRON""))/D14)*C14)/100*GOOGLEFINANCE (""Currency:USDRON"")"),0.323121744504281)</f>
        <v>0.32312174450428099</v>
      </c>
      <c r="M14" s="335">
        <f t="shared" ca="1" si="2"/>
        <v>0.22214490562216579</v>
      </c>
      <c r="N14" s="336" t="e">
        <f>Divident_all!#REF!</f>
        <v>#REF!</v>
      </c>
      <c r="O14" s="336" t="e">
        <f>Divident_all!#REF!</f>
        <v>#REF!</v>
      </c>
      <c r="P14" s="337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290" t="e">
        <f>Divident_all!#REF!</f>
        <v>#REF!</v>
      </c>
      <c r="C15" s="290" t="e">
        <f>Divident_all!#REF!</f>
        <v>#REF!</v>
      </c>
      <c r="D15" s="291" t="e">
        <f>Divident_all!#REF!</f>
        <v>#REF!</v>
      </c>
      <c r="E15" s="292">
        <f ca="1">IFERROR(__xludf.DUMMYFUNCTION("(((H15/GOOGLEFINANCE (""Currency:USDRON""))/D15)+F15)"),0.114220265723287)</f>
        <v>0.114220265723287</v>
      </c>
      <c r="F15" s="290" t="e">
        <f>Divident_all!#REF!</f>
        <v>#REF!</v>
      </c>
      <c r="G15" s="291">
        <f ca="1">IFERROR(__xludf.DUMMYFUNCTION("H15/GOOGLEFINANCE (""Currency:usdRON"")"),5.56284906877906)</f>
        <v>5.5628490687790597</v>
      </c>
      <c r="H15" s="293">
        <v>25</v>
      </c>
      <c r="I15" s="294" t="e">
        <f t="shared" si="5"/>
        <v>#REF!</v>
      </c>
      <c r="J15" s="291" t="e">
        <f t="shared" ca="1" si="4"/>
        <v>#REF!</v>
      </c>
      <c r="K15" s="295">
        <f ca="1">IFERROR(__xludf.DUMMYFUNCTION("(F15*C15)/100*GOOGLEFINANCE (""Currency:usdRON"")"),0.3909033703978)</f>
        <v>0.39090337039779999</v>
      </c>
      <c r="L15" s="296">
        <f ca="1">IFERROR(__xludf.DUMMYFUNCTION("(((H15/GOOGLEFINANCE (""Currency:usdRON""))/D15)*C15)/100*GOOGLEFINANCE (""Currency:usdRON"")"),0.21481103910289)</f>
        <v>0.21481103910289001</v>
      </c>
      <c r="M15" s="297">
        <f t="shared" ca="1" si="2"/>
        <v>0.54952465332874745</v>
      </c>
      <c r="N15" s="298" t="e">
        <f>Divident_all!#REF!</f>
        <v>#REF!</v>
      </c>
      <c r="O15" s="298" t="e">
        <f>Divident_all!#REF!</f>
        <v>#REF!</v>
      </c>
      <c r="P15" s="299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269" t="e">
        <f>Divident_all!#REF!</f>
        <v>#REF!</v>
      </c>
      <c r="C16" s="269" t="e">
        <f>Divident_all!#REF!</f>
        <v>#REF!</v>
      </c>
      <c r="D16" s="270" t="e">
        <f>Divident_all!#REF!</f>
        <v>#REF!</v>
      </c>
      <c r="E16" s="271">
        <f ca="1">IFERROR(__xludf.DUMMYFUNCTION("(((H16/GOOGLEFINANCE (""Currency:USDRON""))/D16)+F16)"),1.95746323483297)</f>
        <v>1.9574632348329699</v>
      </c>
      <c r="F16" s="269" t="e">
        <f>Divident_all!#REF!</f>
        <v>#REF!</v>
      </c>
      <c r="G16" s="270">
        <f ca="1">IFERROR(__xludf.DUMMYFUNCTION("H16/GOOGLEFINANCE (""Currency:USDRON"")"),5.56284906877906)</f>
        <v>5.5628490687790597</v>
      </c>
      <c r="H16" s="272">
        <v>25</v>
      </c>
      <c r="I16" s="273" t="e">
        <f t="shared" si="5"/>
        <v>#REF!</v>
      </c>
      <c r="J16" s="270" t="e">
        <f t="shared" ca="1" si="4"/>
        <v>#REF!</v>
      </c>
      <c r="K16" s="274">
        <f ca="1">IFERROR(__xludf.DUMMYFUNCTION("(F16*C16)/100*GOOGLEFINANCE (""Currency:USDRON"")"),2.2457488456975)</f>
        <v>2.2457488456974999</v>
      </c>
      <c r="L16" s="275">
        <f ca="1">IFERROR(__xludf.DUMMYFUNCTION("(((H16/GOOGLEFINANCE (""Currency:USDRON""))/D16)*C16)/100*GOOGLEFINANCE (""Currency:USDRON"")"),0.173435923309788)</f>
        <v>0.17343592330978799</v>
      </c>
      <c r="M16" s="276">
        <f t="shared" ca="1" si="2"/>
        <v>7.7228548349056861E-2</v>
      </c>
      <c r="N16" s="277" t="e">
        <f>Divident_all!#REF!</f>
        <v>#REF!</v>
      </c>
      <c r="O16" s="277" t="e">
        <f>Divident_all!#REF!</f>
        <v>#REF!</v>
      </c>
      <c r="P16" s="278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290" t="e">
        <f>Divident_all!#REF!</f>
        <v>#REF!</v>
      </c>
      <c r="C17" s="290" t="e">
        <f>Divident_all!#REF!</f>
        <v>#REF!</v>
      </c>
      <c r="D17" s="291" t="e">
        <f>Divident_all!#REF!</f>
        <v>#REF!</v>
      </c>
      <c r="E17" s="292">
        <f ca="1">IFERROR(__xludf.DUMMYFUNCTION("(((H17/GOOGLEFINANCE (""Currency:USDRON""))/D17)+F17)"),0.435119168418383)</f>
        <v>0.435119168418383</v>
      </c>
      <c r="F17" s="290" t="e">
        <f>Divident_all!#REF!</f>
        <v>#REF!</v>
      </c>
      <c r="G17" s="291">
        <f ca="1">IFERROR(__xludf.DUMMYFUNCTION("H17/GOOGLEFINANCE (""Currency:USDRON"")"),5.56284906877906)</f>
        <v>5.5628490687790597</v>
      </c>
      <c r="H17" s="293">
        <v>25</v>
      </c>
      <c r="I17" s="294" t="e">
        <f t="shared" si="5"/>
        <v>#REF!</v>
      </c>
      <c r="J17" s="291" t="e">
        <f t="shared" ca="1" si="4"/>
        <v>#REF!</v>
      </c>
      <c r="K17" s="295">
        <f ca="1">IFERROR(__xludf.DUMMYFUNCTION("(F17*C17)/100*GOOGLEFINANCE (""Currency:USDRON"")"),0.717120840539999)</f>
        <v>0.71712084053999903</v>
      </c>
      <c r="L17" s="296">
        <f ca="1">IFERROR(__xludf.DUMMYFUNCTION("(((H17/GOOGLEFINANCE (""Currency:USDRON""))/D17)*C17)/100*GOOGLEFINANCE (""Currency:USDRON"")"),0.182394924662965)</f>
        <v>0.182394924662965</v>
      </c>
      <c r="M17" s="297">
        <f t="shared" ca="1" si="2"/>
        <v>0.25434336077253011</v>
      </c>
      <c r="N17" s="298" t="e">
        <f>Divident_all!#REF!</f>
        <v>#REF!</v>
      </c>
      <c r="O17" s="298" t="e">
        <f>Divident_all!#REF!</f>
        <v>#REF!</v>
      </c>
      <c r="P17" s="299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397" t="e">
        <f>Divident_all!#REF!</f>
        <v>#REF!</v>
      </c>
      <c r="C18" s="397" t="e">
        <f>Divident_all!#REF!</f>
        <v>#REF!</v>
      </c>
      <c r="D18" s="398" t="e">
        <f>Divident_all!#REF!</f>
        <v>#REF!</v>
      </c>
      <c r="E18" s="399">
        <f ca="1">IFERROR(__xludf.DUMMYFUNCTION("(((H18/GOOGLEFINANCE (""Currency:USDRON""))/D18)+F18)"),0.112481970023993)</f>
        <v>0.112481970023993</v>
      </c>
      <c r="F18" s="397" t="e">
        <f>Divident_all!#REF!</f>
        <v>#REF!</v>
      </c>
      <c r="G18" s="398">
        <f ca="1">IFERROR(__xludf.DUMMYFUNCTION("H18/GOOGLEFINANCE (""Currency:USDRON"")"),5.56284906877906)</f>
        <v>5.5628490687790597</v>
      </c>
      <c r="H18" s="400">
        <v>25</v>
      </c>
      <c r="I18" s="401" t="e">
        <f t="shared" si="5"/>
        <v>#REF!</v>
      </c>
      <c r="J18" s="398" t="e">
        <f t="shared" ca="1" si="4"/>
        <v>#REF!</v>
      </c>
      <c r="K18" s="402">
        <f ca="1">IFERROR(__xludf.DUMMYFUNCTION("(F18*C18)/100*GOOGLEFINANCE (""Currency:USDRON"")"),0.400875989520499)</f>
        <v>0.40087598952049902</v>
      </c>
      <c r="L18" s="403">
        <f ca="1">IFERROR(__xludf.DUMMYFUNCTION("(((H18/GOOGLEFINANCE (""Currency:USDRON""))/D18)*C18)/100*GOOGLEFINANCE (""Currency:USDRON"")"),0.170344910757356)</f>
        <v>0.170344910757356</v>
      </c>
      <c r="M18" s="525">
        <f t="shared" ca="1" si="2"/>
        <v>0.42493168763016004</v>
      </c>
      <c r="N18" s="405" t="e">
        <f>Divident_all!#REF!</f>
        <v>#REF!</v>
      </c>
      <c r="O18" s="405" t="e">
        <f>Divident_all!#REF!</f>
        <v>#REF!</v>
      </c>
      <c r="P18" s="406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338" t="e">
        <f>Divident_all!#REF!</f>
        <v>#REF!</v>
      </c>
      <c r="C19" s="338" t="e">
        <f>Divident_all!#REF!</f>
        <v>#REF!</v>
      </c>
      <c r="D19" s="339" t="e">
        <f>Divident_all!#REF!</f>
        <v>#REF!</v>
      </c>
      <c r="E19" s="340">
        <f ca="1">IFERROR(__xludf.DUMMYFUNCTION("(((H19/GOOGLEFINANCE (""Currency:USDRON""))/D19)+F19)"),0.116267980352061)</f>
        <v>0.116267980352061</v>
      </c>
      <c r="F19" s="338" t="e">
        <f>Divident_all!#REF!</f>
        <v>#REF!</v>
      </c>
      <c r="G19" s="339">
        <f ca="1">IFERROR(__xludf.DUMMYFUNCTION("H19/GOOGLEFINANCE (""Currency:USDRON"")"),5.56284906877906)</f>
        <v>5.5628490687790597</v>
      </c>
      <c r="H19" s="341">
        <v>25</v>
      </c>
      <c r="I19" s="342" t="e">
        <f t="shared" si="5"/>
        <v>#REF!</v>
      </c>
      <c r="J19" s="339" t="e">
        <f t="shared" ca="1" si="4"/>
        <v>#REF!</v>
      </c>
      <c r="K19" s="333">
        <f ca="1">IFERROR(__xludf.DUMMYFUNCTION("(F19*C19)/100*GOOGLEFINANCE (""Currency:USDRON"")"),0.2162294644575)</f>
        <v>0.21622946445749999</v>
      </c>
      <c r="L19" s="343">
        <f ca="1">IFERROR(__xludf.DUMMYFUNCTION("(((H19/GOOGLEFINANCE (""Currency:USDRON""))/D19)*C19)/100*GOOGLEFINANCE (""Currency:USDRON"")"),0.17566048341765)</f>
        <v>0.17566048341765</v>
      </c>
      <c r="M19" s="335">
        <f t="shared" ca="1" si="2"/>
        <v>0.81237995875523317</v>
      </c>
      <c r="N19" s="344" t="e">
        <f>Divident_all!#REF!</f>
        <v>#REF!</v>
      </c>
      <c r="O19" s="344" t="e">
        <f>Divident_all!#REF!</f>
        <v>#REF!</v>
      </c>
      <c r="P19" s="345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320" t="e">
        <f>Divident_all!#REF!</f>
        <v>#REF!</v>
      </c>
      <c r="C20" s="320" t="e">
        <f>Divident_all!#REF!</f>
        <v>#REF!</v>
      </c>
      <c r="D20" s="321" t="e">
        <f>Divident_all!#REF!</f>
        <v>#REF!</v>
      </c>
      <c r="E20" s="322">
        <f ca="1">IFERROR(__xludf.DUMMYFUNCTION("(((H20/GOOGLEFINANCE (""Currency:USDRON""))/D20)+F20)"),0.108834681450728)</f>
        <v>0.108834681450728</v>
      </c>
      <c r="F20" s="320" t="e">
        <f>Divident_all!#REF!</f>
        <v>#REF!</v>
      </c>
      <c r="G20" s="321">
        <f ca="1">IFERROR(__xludf.DUMMYFUNCTION("H20/GOOGLEFINANCE (""Currency:USDRON"")"),4.45027925502325)</f>
        <v>4.4502792550232497</v>
      </c>
      <c r="H20" s="293">
        <v>20</v>
      </c>
      <c r="I20" s="323" t="e">
        <f t="shared" si="5"/>
        <v>#REF!</v>
      </c>
      <c r="J20" s="321" t="e">
        <f t="shared" ca="1" si="4"/>
        <v>#REF!</v>
      </c>
      <c r="K20" s="324">
        <f ca="1">IFERROR(__xludf.DUMMYFUNCTION("(F20*C20)/100*GOOGLEFINANCE (""Currency:USDRON"")"),0.437147263917)</f>
        <v>0.43714726391699998</v>
      </c>
      <c r="L20" s="325">
        <f ca="1">IFERROR(__xludf.DUMMYFUNCTION("(((H20/GOOGLEFINANCE (""Currency:USDRON""))/D20)*C20)/100*GOOGLEFINANCE (""Currency:USDRON"")"),0.125333769276878)</f>
        <v>0.125333769276878</v>
      </c>
      <c r="M20" s="297">
        <f t="shared" ca="1" si="2"/>
        <v>0.28670834664236811</v>
      </c>
      <c r="N20" s="326" t="e">
        <f>Divident_all!#REF!</f>
        <v>#REF!</v>
      </c>
      <c r="O20" s="326" t="e">
        <f>Divident_all!#REF!</f>
        <v>#REF!</v>
      </c>
      <c r="P20" s="327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280" t="e">
        <f>Divident_all!#REF!</f>
        <v>#REF!</v>
      </c>
      <c r="C21" s="280" t="e">
        <f>Divident_all!#REF!</f>
        <v>#REF!</v>
      </c>
      <c r="D21" s="281" t="e">
        <f>Divident_all!#REF!</f>
        <v>#REF!</v>
      </c>
      <c r="E21" s="282">
        <f ca="1">IFERROR(__xludf.DUMMYFUNCTION("(((H21/GOOGLEFINANCE (""Currency:USDRON""))/D21)+F21)"),0.0562660518690449)</f>
        <v>5.6266051869044903E-2</v>
      </c>
      <c r="F21" s="280" t="e">
        <f>Divident_all!#REF!</f>
        <v>#REF!</v>
      </c>
      <c r="G21" s="281">
        <f ca="1">IFERROR(__xludf.DUMMYFUNCTION("H21/GOOGLEFINANCE (""Currency:USDRON"")"),4.45027925502325)</f>
        <v>4.4502792550232497</v>
      </c>
      <c r="H21" s="283">
        <v>20</v>
      </c>
      <c r="I21" s="284" t="e">
        <f t="shared" si="5"/>
        <v>#REF!</v>
      </c>
      <c r="J21" s="281" t="e">
        <f t="shared" ca="1" si="4"/>
        <v>#REF!</v>
      </c>
      <c r="K21" s="285">
        <f ca="1">IFERROR(__xludf.DUMMYFUNCTION("(F21*C21)/100*GOOGLEFINANCE (""Currency:USDRON"")"),0.1251193168095)</f>
        <v>0.1251193168095</v>
      </c>
      <c r="L21" s="286">
        <f ca="1">IFERROR(__xludf.DUMMYFUNCTION("(((H21/GOOGLEFINANCE (""Currency:USDRON""))/D21)*C21)/100*GOOGLEFINANCE (""Currency:USDRON"")"),0.115102683709941)</f>
        <v>0.11510268370994101</v>
      </c>
      <c r="M21" s="287">
        <f t="shared" ca="1" si="2"/>
        <v>0.91994335203404454</v>
      </c>
      <c r="N21" s="288" t="e">
        <f>Divident_all!#REF!</f>
        <v>#REF!</v>
      </c>
      <c r="O21" s="288" t="e">
        <f>Divident_all!#REF!</f>
        <v>#REF!</v>
      </c>
      <c r="P21" s="289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55" t="e">
        <f>Divident_all!#REF!</f>
        <v>#REF!</v>
      </c>
      <c r="C22" s="355" t="e">
        <f>Divident_all!#REF!</f>
        <v>#REF!</v>
      </c>
      <c r="D22" s="356" t="e">
        <f>Divident_all!#REF!</f>
        <v>#REF!</v>
      </c>
      <c r="E22" s="357">
        <f ca="1">IFERROR(__xludf.DUMMYFUNCTION("(((H22/GOOGLEFINANCE (""Currency:USDRON""))/D22)+F22)"),0.136091278753522)</f>
        <v>0.136091278753522</v>
      </c>
      <c r="F22" s="355" t="e">
        <f>Divident_all!#REF!</f>
        <v>#REF!</v>
      </c>
      <c r="G22" s="356">
        <f ca="1">IFERROR(__xludf.DUMMYFUNCTION("H22/GOOGLEFINANCE (""Currency:USDRON"")"),4.45027925502325)</f>
        <v>4.4502792550232497</v>
      </c>
      <c r="H22" s="358">
        <v>20</v>
      </c>
      <c r="I22" s="359" t="e">
        <f t="shared" si="5"/>
        <v>#REF!</v>
      </c>
      <c r="J22" s="356" t="e">
        <f t="shared" ca="1" si="4"/>
        <v>#REF!</v>
      </c>
      <c r="K22" s="360">
        <f ca="1">IFERROR(__xludf.DUMMYFUNCTION("(F22*C22)/100*GOOGLEFINANCE (""Currency:USDRON"")"),0.3561304604)</f>
        <v>0.35613046040000002</v>
      </c>
      <c r="L22" s="361">
        <f ca="1">IFERROR(__xludf.DUMMYFUNCTION("(((H22/GOOGLEFINANCE (""Currency:USDRON""))/D22)*C22)/100*GOOGLEFINANCE (""Currency:USDRON"")"),0.133155792276964)</f>
        <v>0.133155792276964</v>
      </c>
      <c r="M22" s="362">
        <f t="shared" ca="1" si="2"/>
        <v>0.37389610573441417</v>
      </c>
      <c r="N22" s="363" t="e">
        <f>Divident_all!#REF!</f>
        <v>#REF!</v>
      </c>
      <c r="O22" s="363" t="e">
        <f>Divident_all!#REF!</f>
        <v>#REF!</v>
      </c>
      <c r="P22" s="364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346" t="e">
        <f>Divident_all!#REF!</f>
        <v>#REF!</v>
      </c>
      <c r="C23" s="346" t="e">
        <f>Divident_all!#REF!</f>
        <v>#REF!</v>
      </c>
      <c r="D23" s="347" t="e">
        <f>Divident_all!#REF!</f>
        <v>#REF!</v>
      </c>
      <c r="E23" s="348">
        <f ca="1">IFERROR(__xludf.DUMMYFUNCTION("(((H23/GOOGLEFINANCE (""Currency:USDRON""))/D23)+F23)"),0.103152555896682)</f>
        <v>0.103152555896682</v>
      </c>
      <c r="F23" s="346" t="e">
        <f>Divident_all!#REF!</f>
        <v>#REF!</v>
      </c>
      <c r="G23" s="347">
        <f ca="1">IFERROR(__xludf.DUMMYFUNCTION("H23/GOOGLEFINANCE (""Currency:USDRON"")"),4.45027925502325)</f>
        <v>4.4502792550232497</v>
      </c>
      <c r="H23" s="283">
        <v>20</v>
      </c>
      <c r="I23" s="349" t="e">
        <f t="shared" si="5"/>
        <v>#REF!</v>
      </c>
      <c r="J23" s="347" t="e">
        <f t="shared" ca="1" si="4"/>
        <v>#REF!</v>
      </c>
      <c r="K23" s="350">
        <f ca="1">IFERROR(__xludf.DUMMYFUNCTION("(F23*C23)/100*GOOGLEFINANCE (""Currency:USDRON"")"),0.5994408186832)</f>
        <v>0.59944081868319998</v>
      </c>
      <c r="L23" s="351">
        <f ca="1">IFERROR(__xludf.DUMMYFUNCTION("(((H23/GOOGLEFINANCE (""Currency:USDRON""))/D23)*C23)/100*GOOGLEFINANCE (""Currency:USDRON"")"),0.105197591528825)</f>
        <v>0.105197591528825</v>
      </c>
      <c r="M23" s="352">
        <f t="shared" ca="1" si="2"/>
        <v>0.17549287310783077</v>
      </c>
      <c r="N23" s="353" t="e">
        <f>Divident_all!#REF!</f>
        <v>#REF!</v>
      </c>
      <c r="O23" s="353" t="e">
        <f>Divident_all!#REF!</f>
        <v>#REF!</v>
      </c>
      <c r="P23" s="354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166"/>
      <c r="B24" s="355" t="e">
        <f>Divident_all!#REF!</f>
        <v>#REF!</v>
      </c>
      <c r="C24" s="355" t="e">
        <f>Divident_all!#REF!</f>
        <v>#REF!</v>
      </c>
      <c r="D24" s="356" t="e">
        <f>Divident_all!#REF!</f>
        <v>#REF!</v>
      </c>
      <c r="E24" s="357">
        <f ca="1">IFERROR(__xludf.DUMMYFUNCTION("(((H24/GOOGLEFINANCE (""Currency:USDRON""))/D24)+F24)"),0.204198484418204)</f>
        <v>0.20419848441820401</v>
      </c>
      <c r="F24" s="355" t="e">
        <f>Divident_all!#REF!</f>
        <v>#REF!</v>
      </c>
      <c r="G24" s="356">
        <f ca="1">IFERROR(__xludf.DUMMYFUNCTION("H24/GOOGLEFINANCE (""Currency:USDRON"")"),3.33770944126743)</f>
        <v>3.33770944126743</v>
      </c>
      <c r="H24" s="358">
        <v>15</v>
      </c>
      <c r="I24" s="359" t="e">
        <f t="shared" si="5"/>
        <v>#REF!</v>
      </c>
      <c r="J24" s="356" t="e">
        <f t="shared" ca="1" si="4"/>
        <v>#REF!</v>
      </c>
      <c r="K24" s="360">
        <f ca="1">IFERROR(__xludf.DUMMYFUNCTION("(F24*C24)/100*GOOGLEFINANCE (""Currency:USDRON"")"),0.33957814541508)</f>
        <v>0.33957814541508002</v>
      </c>
      <c r="L24" s="361">
        <f ca="1">IFERROR(__xludf.DUMMYFUNCTION("(((H24/GOOGLEFINANCE (""Currency:USDRON""))/D24)*C24)/100*GOOGLEFINANCE (""Currency:USDRON"")"),0.0783371559633027)</f>
        <v>7.8337155963302693E-2</v>
      </c>
      <c r="M24" s="362">
        <f t="shared" ca="1" si="2"/>
        <v>0.23068962776608617</v>
      </c>
      <c r="N24" s="363" t="e">
        <f>Divident_all!#REF!</f>
        <v>#REF!</v>
      </c>
      <c r="O24" s="363" t="e">
        <f>Divident_all!#REF!</f>
        <v>#REF!</v>
      </c>
      <c r="P24" s="364" t="e">
        <f>Divident_all!#REF!</f>
        <v>#REF!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166"/>
      <c r="B25" s="526" t="e">
        <f>Divident_all!#REF!</f>
        <v>#REF!</v>
      </c>
      <c r="C25" s="526" t="e">
        <f>Divident_all!#REF!</f>
        <v>#REF!</v>
      </c>
      <c r="D25" s="527" t="e">
        <f>Divident_all!#REF!</f>
        <v>#REF!</v>
      </c>
      <c r="E25" s="528">
        <f ca="1">IFERROR(__xludf.DUMMYFUNCTION("(((H25/GOOGLEFINANCE (""Currency:USDRON""))/D25)+F25)"),0.118502661915974)</f>
        <v>0.118502661915974</v>
      </c>
      <c r="F25" s="526" t="e">
        <f>Divident_all!#REF!</f>
        <v>#REF!</v>
      </c>
      <c r="G25" s="527">
        <f ca="1">IFERROR(__xludf.DUMMYFUNCTION("H25/GOOGLEFINANCE (""Currency:USDRON"")"),3.33770944126743)</f>
        <v>3.33770944126743</v>
      </c>
      <c r="H25" s="529">
        <v>15</v>
      </c>
      <c r="I25" s="530" t="e">
        <f t="shared" si="5"/>
        <v>#REF!</v>
      </c>
      <c r="J25" s="527" t="e">
        <f t="shared" ca="1" si="4"/>
        <v>#REF!</v>
      </c>
      <c r="K25" s="531">
        <f ca="1">IFERROR(__xludf.DUMMYFUNCTION("(F25*C25)/100*GOOGLEFINANCE (""Currency:USDRON"")"),0.217417113523349)</f>
        <v>0.217417113523349</v>
      </c>
      <c r="L25" s="532">
        <f ca="1">IFERROR(__xludf.DUMMYFUNCTION("(((H25/GOOGLEFINANCE (""Currency:USDRON""))/D25)*C25)/100*GOOGLEFINANCE (""Currency:USDRON"")"),0.0515271069995238)</f>
        <v>5.15271069995238E-2</v>
      </c>
      <c r="M25" s="414">
        <f t="shared" ca="1" si="2"/>
        <v>0.23699655544359974</v>
      </c>
      <c r="N25" s="533" t="e">
        <f>Divident_all!#REF!</f>
        <v>#REF!</v>
      </c>
      <c r="O25" s="533" t="e">
        <f>Divident_all!#REF!</f>
        <v>#REF!</v>
      </c>
      <c r="P25" s="534" t="e">
        <f>Divident_all!#REF!</f>
        <v>#REF!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  <row r="26" spans="1:33" ht="12.75">
      <c r="A26" s="166"/>
      <c r="B26" s="290" t="e">
        <f>Divident_all!#REF!</f>
        <v>#REF!</v>
      </c>
      <c r="C26" s="290" t="e">
        <f>Divident_all!#REF!</f>
        <v>#REF!</v>
      </c>
      <c r="D26" s="291" t="e">
        <f>Divident_all!#REF!</f>
        <v>#REF!</v>
      </c>
      <c r="E26" s="292">
        <f ca="1">IFERROR(__xludf.DUMMYFUNCTION("(((H26/GOOGLEFINANCE (""Currency:USDRON""))/D26)+F26)"),0.517982071025815)</f>
        <v>0.51798207102581495</v>
      </c>
      <c r="F26" s="290" t="e">
        <f>Divident_all!#REF!</f>
        <v>#REF!</v>
      </c>
      <c r="G26" s="291">
        <f ca="1">IFERROR(__xludf.DUMMYFUNCTION("H26/GOOGLEFINANCE (""Currency:USDRON"")"),3.33770944126743)</f>
        <v>3.33770944126743</v>
      </c>
      <c r="H26" s="293">
        <v>15</v>
      </c>
      <c r="I26" s="294" t="e">
        <f t="shared" si="5"/>
        <v>#REF!</v>
      </c>
      <c r="J26" s="291" t="e">
        <f t="shared" ca="1" si="4"/>
        <v>#REF!</v>
      </c>
      <c r="K26" s="295">
        <f ca="1">IFERROR(__xludf.DUMMYFUNCTION("(F26*C26)/100*GOOGLEFINANCE (""Currency:USDRON"")"),1.497414885252)</f>
        <v>1.4974148852519999</v>
      </c>
      <c r="L26" s="296">
        <f ca="1">IFERROR(__xludf.DUMMYFUNCTION("(((H26/GOOGLEFINANCE (""Currency:USDRON""))/D26)*C26)/100*GOOGLEFINANCE (""Currency:USDRON"")"),0.038974843510098)</f>
        <v>3.8974843510098001E-2</v>
      </c>
      <c r="M26" s="297">
        <f t="shared" ca="1" si="2"/>
        <v>2.6028086066166575E-2</v>
      </c>
      <c r="N26" s="298" t="e">
        <f>Divident_all!#REF!</f>
        <v>#REF!</v>
      </c>
      <c r="O26" s="298" t="e">
        <f>Divident_all!#REF!</f>
        <v>#REF!</v>
      </c>
      <c r="P26" s="299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166"/>
      <c r="B27" s="365"/>
      <c r="C27" s="365"/>
      <c r="D27" s="366"/>
      <c r="E27" s="367"/>
      <c r="F27" s="365"/>
      <c r="G27" s="366"/>
      <c r="H27" s="365"/>
      <c r="I27" s="368"/>
      <c r="J27" s="366"/>
      <c r="K27" s="369"/>
      <c r="L27" s="369"/>
      <c r="M27" s="369"/>
      <c r="N27" s="370"/>
      <c r="O27" s="370"/>
      <c r="P27" s="371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  <row r="28" spans="1:33" ht="12.75">
      <c r="A28" s="166"/>
      <c r="B28" s="365"/>
      <c r="C28" s="365"/>
      <c r="D28" s="366"/>
      <c r="E28" s="367"/>
      <c r="F28" s="365"/>
      <c r="G28" s="366"/>
      <c r="H28" s="365"/>
      <c r="I28" s="368"/>
      <c r="J28" s="366"/>
      <c r="K28" s="369"/>
      <c r="L28" s="369"/>
      <c r="M28" s="369"/>
      <c r="N28" s="370"/>
      <c r="O28" s="370"/>
      <c r="P28" s="371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G22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50</v>
      </c>
      <c r="L2" s="264">
        <f ca="1">((L4*4)*100)/(500+K2)</f>
        <v>4.6686267588155967</v>
      </c>
      <c r="M2" s="12">
        <v>20</v>
      </c>
      <c r="N2" s="12"/>
      <c r="O2" s="12"/>
      <c r="P2" s="12"/>
    </row>
    <row r="3" spans="1:33" ht="15.75" customHeight="1">
      <c r="A3" s="265" t="s">
        <v>30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AVERAGE(C5:C22)</f>
        <v>#REF!</v>
      </c>
      <c r="D4" s="118" t="e">
        <f t="shared" si="0"/>
        <v>#REF!</v>
      </c>
      <c r="E4" s="267">
        <f t="shared" ca="1" si="0"/>
        <v>1.2919516560415283</v>
      </c>
      <c r="F4" s="116"/>
      <c r="G4" s="247">
        <f ca="1">SUM(G5:G22)</f>
        <v>125.31397811847152</v>
      </c>
      <c r="H4" s="116">
        <f>500+K2+M2-SUM(H5:H22)</f>
        <v>0</v>
      </c>
      <c r="I4" s="118"/>
      <c r="J4" s="118" t="e">
        <f t="shared" ref="J4:L4" ca="1" si="1">SUM(J5:J22)</f>
        <v>#REF!</v>
      </c>
      <c r="K4" s="123">
        <f t="shared" ca="1" si="1"/>
        <v>18.025771176643154</v>
      </c>
      <c r="L4" s="123">
        <f t="shared" ca="1" si="1"/>
        <v>6.4193617933714462</v>
      </c>
      <c r="M4" s="117">
        <f t="shared" ref="M4:M22" ca="1" si="2">L4/K4</f>
        <v>0.35612134041118404</v>
      </c>
      <c r="N4" s="125"/>
      <c r="O4" s="125"/>
      <c r="P4" s="126"/>
    </row>
    <row r="5" spans="1:33" ht="12.75">
      <c r="A5" s="522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(""Currency:USDRON""))/D5)+F5)"),2.84738960956926)</f>
        <v>2.8473896095692601</v>
      </c>
      <c r="F5" s="269" t="e">
        <f>Divident_all!#REF!</f>
        <v>#REF!</v>
      </c>
      <c r="G5" s="270">
        <f ca="1">IFERROR(__xludf.DUMMYFUNCTION("H5/GOOGLEFINANCE (""Currency:USDRON"")"),8.9005585100465)</f>
        <v>8.9005585100464994</v>
      </c>
      <c r="H5" s="272">
        <v>40</v>
      </c>
      <c r="I5" s="273" t="e">
        <f>D5/C5</f>
        <v>#REF!</v>
      </c>
      <c r="J5" s="270" t="e">
        <f t="shared" ref="J5:J9" ca="1" si="3">((E5*C5)/100)</f>
        <v>#REF!</v>
      </c>
      <c r="K5" s="319">
        <f ca="1">IFERROR(__xludf.DUMMYFUNCTION("(F5*C5)/100*GOOGLEFINANCE (""Currency:USDRON"")"),3.72727710991999)</f>
        <v>3.72727710991999</v>
      </c>
      <c r="L5" s="275">
        <f ca="1">IFERROR(__xludf.DUMMYFUNCTION("(((H5/GOOGLEFINANCE (""Currency:USDRON""))/D5)*C5)/100*GOOGLEFINANCE (""Currency:USDRON"")"),1.39130434782608)</f>
        <v>1.39130434782608</v>
      </c>
      <c r="M5" s="276">
        <f t="shared" ca="1" si="2"/>
        <v>0.37327633733568738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522"/>
      <c r="B6" s="269" t="e">
        <f>Divident_all!#REF!</f>
        <v>#REF!</v>
      </c>
      <c r="C6" s="269" t="e">
        <f>Divident_all!#REF!</f>
        <v>#REF!</v>
      </c>
      <c r="D6" s="270" t="e">
        <f>Divident_all!#REF!</f>
        <v>#REF!</v>
      </c>
      <c r="E6" s="271">
        <f ca="1">IFERROR(__xludf.DUMMYFUNCTION("(((H6/GOOGLEFINANCE (""Currency:USDRON""))/D6)+F6)"),0.0895337284549591)</f>
        <v>8.9533728454959105E-2</v>
      </c>
      <c r="F6" s="269" t="e">
        <f>Divident_all!#REF!</f>
        <v>#REF!</v>
      </c>
      <c r="G6" s="270">
        <f ca="1">IFERROR(__xludf.DUMMYFUNCTION("H6/GOOGLEFINANCE (""Currency:USDRON"")"),8.9005585100465)</f>
        <v>8.9005585100464994</v>
      </c>
      <c r="H6" s="272">
        <v>40</v>
      </c>
      <c r="I6" s="273" t="e">
        <f t="shared" ref="I6:I7" si="4">D6/(C6*3)</f>
        <v>#REF!</v>
      </c>
      <c r="J6" s="270" t="e">
        <f t="shared" ca="1" si="3"/>
        <v>#REF!</v>
      </c>
      <c r="K6" s="319">
        <f ca="1">IFERROR(__xludf.DUMMYFUNCTION("(F6*C6)/100*GOOGLEFINANCE (""Currency:USDRON"")"),0.326093154347999)</f>
        <v>0.32609315434799901</v>
      </c>
      <c r="L6" s="275">
        <f ca="1">IFERROR(__xludf.DUMMYFUNCTION("(((H6/GOOGLEFINANCE (""Currency:USDRON""))/D6)*C6)/100*GOOGLEFINANCE (""Currency:USDRON"")"),0.301609550969114)</f>
        <v>0.30160955096911402</v>
      </c>
      <c r="M6" s="276">
        <f t="shared" ca="1" si="2"/>
        <v>0.92491837668951282</v>
      </c>
      <c r="N6" s="277" t="e">
        <f>Divident_all!#REF!</f>
        <v>#REF!</v>
      </c>
      <c r="O6" s="277" t="e">
        <f>Divident_all!#REF!</f>
        <v>#REF!</v>
      </c>
      <c r="P6" s="278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523"/>
      <c r="B7" s="310" t="e">
        <f>Divident_all!#REF!</f>
        <v>#REF!</v>
      </c>
      <c r="C7" s="310" t="e">
        <f>Divident_all!#REF!</f>
        <v>#REF!</v>
      </c>
      <c r="D7" s="311" t="e">
        <f>Divident_all!#REF!</f>
        <v>#REF!</v>
      </c>
      <c r="E7" s="312">
        <f ca="1">IFERROR(__xludf.DUMMYFUNCTION("(((H7/GOOGLEFINANCE (""Currency:USDRON""))/D7)+F7)"),2.04166377573275)</f>
        <v>2.0416637757327498</v>
      </c>
      <c r="F7" s="310" t="e">
        <f>Divident_all!#REF!</f>
        <v>#REF!</v>
      </c>
      <c r="G7" s="311">
        <f ca="1">IFERROR(__xludf.DUMMYFUNCTION("H7/GOOGLEFINANCE (""Currency:usdRON"")"),8.9005585100465)</f>
        <v>8.9005585100464994</v>
      </c>
      <c r="H7" s="313">
        <v>40</v>
      </c>
      <c r="I7" s="314" t="e">
        <f t="shared" si="4"/>
        <v>#REF!</v>
      </c>
      <c r="J7" s="311" t="e">
        <f t="shared" ca="1" si="3"/>
        <v>#REF!</v>
      </c>
      <c r="K7" s="315">
        <f ca="1">IFERROR(__xludf.DUMMYFUNCTION("(F7*C7)/100*GOOGLEFINANCE (""Currency:usdRON"")"),2.2457488456975)</f>
        <v>2.2457488456974999</v>
      </c>
      <c r="L7" s="316">
        <f ca="1">IFERROR(__xludf.DUMMYFUNCTION("(((H7/GOOGLEFINANCE (""Currency:usdRON""))/D7)*C7)/100*GOOGLEFINANCE (""Currency:usdRON"")"),0.277497477295661)</f>
        <v>0.27749747729566099</v>
      </c>
      <c r="M7" s="276">
        <f t="shared" ca="1" si="2"/>
        <v>0.12356567735849106</v>
      </c>
      <c r="N7" s="317" t="e">
        <f>Divident_all!#REF!</f>
        <v>#REF!</v>
      </c>
      <c r="O7" s="317" t="e">
        <f>Divident_all!#REF!</f>
        <v>#REF!</v>
      </c>
      <c r="P7" s="318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522"/>
      <c r="B8" s="290" t="e">
        <f>Divident_all!#REF!</f>
        <v>#REF!</v>
      </c>
      <c r="C8" s="290" t="e">
        <f>Divident_all!#REF!</f>
        <v>#REF!</v>
      </c>
      <c r="D8" s="291" t="e">
        <f>Divident_all!#REF!</f>
        <v>#REF!</v>
      </c>
      <c r="E8" s="292">
        <f ca="1">IFERROR(__xludf.DUMMYFUNCTION("(((H8/GOOGLEFINANCE (""Currency:USDRON""))/D8)+F8)"),0.75777063057819)</f>
        <v>0.75777063057819005</v>
      </c>
      <c r="F8" s="290" t="e">
        <f>Divident_all!#REF!</f>
        <v>#REF!</v>
      </c>
      <c r="G8" s="291">
        <f ca="1">IFERROR(__xludf.DUMMYFUNCTION("H8/GOOGLEFINANCE (""Currency:USDRON"")"),8.9005585100465)</f>
        <v>8.9005585100464994</v>
      </c>
      <c r="H8" s="293">
        <v>40</v>
      </c>
      <c r="I8" s="294" t="e">
        <f t="shared" ref="I8:I11" si="5">D8/C8</f>
        <v>#REF!</v>
      </c>
      <c r="J8" s="291" t="e">
        <f t="shared" ca="1" si="3"/>
        <v>#REF!</v>
      </c>
      <c r="K8" s="295">
        <f ca="1">IFERROR(__xludf.DUMMYFUNCTION("(F8*C8)/100*GOOGLEFINANCE (""Currency:USDRON"")"),1.60178016513319)</f>
        <v>1.60178016513319</v>
      </c>
      <c r="L8" s="296">
        <f ca="1">IFERROR(__xludf.DUMMYFUNCTION("(((H8/GOOGLEFINANCE (""Currency:USDRON""))/D8)*C8)/100*GOOGLEFINANCE (""Currency:USDRON"")"),0.802500710429099)</f>
        <v>0.80250071042909898</v>
      </c>
      <c r="M8" s="297">
        <f t="shared" ca="1" si="2"/>
        <v>0.50100552366520912</v>
      </c>
      <c r="N8" s="298" t="e">
        <f>Divident_all!#REF!</f>
        <v>#REF!</v>
      </c>
      <c r="O8" s="298" t="e">
        <f>Divident_all!#REF!</f>
        <v>#REF!</v>
      </c>
      <c r="P8" s="299" t="e">
        <f>Divident_all!#REF!</f>
        <v>#REF!</v>
      </c>
      <c r="Q8" s="234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522"/>
      <c r="B9" s="461" t="e">
        <f>Divident_all!#REF!</f>
        <v>#REF!</v>
      </c>
      <c r="C9" s="461" t="e">
        <f>Divident_all!#REF!</f>
        <v>#REF!</v>
      </c>
      <c r="D9" s="462" t="e">
        <f>Divident_all!#REF!</f>
        <v>#REF!</v>
      </c>
      <c r="E9" s="463">
        <f ca="1">IFERROR(__xludf.DUMMYFUNCTION("(((H9/GOOGLEFINANCE (""Currency:USDRON""))/D9)+F9)"),0.726505868849839)</f>
        <v>0.72650586884983903</v>
      </c>
      <c r="F9" s="461" t="e">
        <f>Divident_all!#REF!</f>
        <v>#REF!</v>
      </c>
      <c r="G9" s="462">
        <f ca="1">IFERROR(__xludf.DUMMYFUNCTION("H9/GOOGLEFINANCE (""Currency:USDRON"")"),7.78798869629069)</f>
        <v>7.7879886962906903</v>
      </c>
      <c r="H9" s="464">
        <v>35</v>
      </c>
      <c r="I9" s="465" t="e">
        <f t="shared" si="5"/>
        <v>#REF!</v>
      </c>
      <c r="J9" s="462" t="e">
        <f t="shared" ca="1" si="3"/>
        <v>#REF!</v>
      </c>
      <c r="K9" s="466">
        <f ca="1">IFERROR(__xludf.DUMMYFUNCTION("(F9*C9)/100*GOOGLEFINANCE (""Currency:USDRON"")"),1.54811379358349)</f>
        <v>1.5481137935834901</v>
      </c>
      <c r="L9" s="467">
        <f ca="1">IFERROR(__xludf.DUMMYFUNCTION("(((H9/GOOGLEFINANCE (""Currency:USDRON""))/D9)*C9)/100*GOOGLEFINANCE (""Currency:USDRON"")"),0.582292197858235)</f>
        <v>0.58229219785823505</v>
      </c>
      <c r="M9" s="468">
        <f t="shared" ca="1" si="2"/>
        <v>0.37613010120552998</v>
      </c>
      <c r="N9" s="469" t="e">
        <f>Divident_all!#REF!</f>
        <v>#REF!</v>
      </c>
      <c r="O9" s="469" t="e">
        <f>Divident_all!#REF!</f>
        <v>#REF!</v>
      </c>
      <c r="P9" s="470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522"/>
      <c r="B10" s="338" t="e">
        <f>Divident_all!#REF!</f>
        <v>#REF!</v>
      </c>
      <c r="C10" s="338" t="e">
        <f>Divident_all!#REF!</f>
        <v>#REF!</v>
      </c>
      <c r="D10" s="79" t="e">
        <f>Divident_all!#REF!</f>
        <v>#REF!</v>
      </c>
      <c r="E10" s="340">
        <f ca="1">IFERROR(__xludf.DUMMYFUNCTION("(((H10/GOOGLEFINANCE (""Currency:USDRON"")*100)/D10)+F10)"),12.7207358060252)</f>
        <v>12.7207358060252</v>
      </c>
      <c r="F10" s="338" t="e">
        <f>Divident_all!#REF!</f>
        <v>#REF!</v>
      </c>
      <c r="G10" s="376">
        <f ca="1">IFERROR(__xludf.DUMMYFUNCTION("H10/GOOGLEFINANCE (""Currency:gbpRON"")"),6.2690080465996)</f>
        <v>6.2690080465996001</v>
      </c>
      <c r="H10" s="341">
        <v>35</v>
      </c>
      <c r="I10" s="342" t="e">
        <f t="shared" si="5"/>
        <v>#REF!</v>
      </c>
      <c r="J10" s="376" t="e">
        <f ca="1">((E10*C10)/100)/100</f>
        <v>#REF!</v>
      </c>
      <c r="K10" s="333">
        <f ca="1">IFERROR(__xludf.DUMMYFUNCTION("(F10*C10)/100/100*GOOGLEFINANCE (""Currency:gbpRON"")"),0.827839473473794)</f>
        <v>0.82783947347379405</v>
      </c>
      <c r="L10" s="343">
        <f ca="1">IFERROR(__xludf.DUMMYFUNCTION("(((H10/GOOGLEFINANCE (""Currency:gbpRON""))/D10)*C10)/100*GOOGLEFINANCE (""Currency:gbpRON"")"),0.534156976744186)</f>
        <v>0.53415697674418605</v>
      </c>
      <c r="M10" s="335">
        <f t="shared" ca="1" si="2"/>
        <v>0.64524221646830571</v>
      </c>
      <c r="N10" s="344" t="e">
        <f>Divident_all!#REF!</f>
        <v>#REF!</v>
      </c>
      <c r="O10" s="344" t="e">
        <f>Divident_all!#REF!</f>
        <v>#REF!</v>
      </c>
      <c r="P10" s="345" t="e">
        <f>Divident_all!#REF!</f>
        <v>#REF!</v>
      </c>
      <c r="Q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522"/>
      <c r="B11" s="471" t="e">
        <f>Divident_all!#REF!</f>
        <v>#REF!</v>
      </c>
      <c r="C11" s="471" t="e">
        <f>Divident_all!#REF!</f>
        <v>#REF!</v>
      </c>
      <c r="D11" s="472" t="e">
        <f>Divident_all!#REF!</f>
        <v>#REF!</v>
      </c>
      <c r="E11" s="473">
        <f ca="1">IFERROR(__xludf.DUMMYFUNCTION("(((H11/GOOGLEFINANCE (""Currency:USDRON""))/D11)+F11)"),1.4153831197336)</f>
        <v>1.4153831197336</v>
      </c>
      <c r="F11" s="471" t="e">
        <f>Divident_all!#REF!</f>
        <v>#REF!</v>
      </c>
      <c r="G11" s="472">
        <f ca="1">IFERROR(__xludf.DUMMYFUNCTION("H11/GOOGLEFINANCE (""Currency:USDRON"")"),7.78798869629069)</f>
        <v>7.7879886962906903</v>
      </c>
      <c r="H11" s="464">
        <v>35</v>
      </c>
      <c r="I11" s="474" t="e">
        <f t="shared" si="5"/>
        <v>#REF!</v>
      </c>
      <c r="J11" s="472" t="e">
        <f t="shared" ref="J11:J22" ca="1" si="6">((E11*C11)/100)</f>
        <v>#REF!</v>
      </c>
      <c r="K11" s="475">
        <f ca="1">IFERROR(__xludf.DUMMYFUNCTION("(E11*C11)/100*GOOGLEFINANCE (""Currency:usdRON"")"),1.76514233475455)</f>
        <v>1.7651423347545501</v>
      </c>
      <c r="L11" s="476">
        <f ca="1">IFERROR(__xludf.DUMMYFUNCTION("(((H11/GOOGLEFINANCE (""Currency:usdRON""))/D11)*C11)/100*GOOGLEFINANCE (""Currency:usdRON"")"),0.487330657300551)</f>
        <v>0.48733065730055097</v>
      </c>
      <c r="M11" s="468">
        <f t="shared" ca="1" si="2"/>
        <v>0.27608575677174285</v>
      </c>
      <c r="N11" s="477" t="e">
        <f>Divident_all!#REF!</f>
        <v>#REF!</v>
      </c>
      <c r="O11" s="477" t="e">
        <f>Divident_all!#REF!</f>
        <v>#REF!</v>
      </c>
      <c r="P11" s="478" t="e">
        <f>Divident_all!#REF!</f>
        <v>#REF!</v>
      </c>
      <c r="Q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522"/>
      <c r="B12" s="269" t="e">
        <f>Divident_all!#REF!</f>
        <v>#REF!</v>
      </c>
      <c r="C12" s="269" t="e">
        <f>Divident_all!#REF!</f>
        <v>#REF!</v>
      </c>
      <c r="D12" s="270" t="e">
        <f>Divident_all!#REF!</f>
        <v>#REF!</v>
      </c>
      <c r="E12" s="271">
        <f ca="1">IFERROR(__xludf.DUMMYFUNCTION("(((H12/GOOGLEFINANCE (""Currency:USDRON""))/D12)+F12)"),0.895703153797773)</f>
        <v>0.89570315379777299</v>
      </c>
      <c r="F12" s="269" t="e">
        <f>Divident_all!#REF!</f>
        <v>#REF!</v>
      </c>
      <c r="G12" s="270">
        <f ca="1">IFERROR(__xludf.DUMMYFUNCTION("H12/GOOGLEFINANCE (""Currency:USDRON"")"),7.78798869629069)</f>
        <v>7.7879886962906903</v>
      </c>
      <c r="H12" s="272">
        <v>35</v>
      </c>
      <c r="I12" s="273" t="e">
        <f>D12/(C12*3)</f>
        <v>#REF!</v>
      </c>
      <c r="J12" s="270" t="e">
        <f t="shared" ca="1" si="6"/>
        <v>#REF!</v>
      </c>
      <c r="K12" s="319">
        <f ca="1">IFERROR(__xludf.DUMMYFUNCTION("(F12*C12)/100*GOOGLEFINANCE (""Currency:USDRON"")"),0.879606554033999)</f>
        <v>0.87960655403399901</v>
      </c>
      <c r="L12" s="275">
        <f ca="1">IFERROR(__xludf.DUMMYFUNCTION("(((H12/GOOGLEFINANCE (""Currency:USDRON""))/D12)*C12)/100*GOOGLEFINANCE (""Currency:USDRON"")"),0.146865229554056)</f>
        <v>0.14686522955405601</v>
      </c>
      <c r="M12" s="276">
        <f t="shared" ca="1" si="2"/>
        <v>0.16696695685191462</v>
      </c>
      <c r="N12" s="277" t="e">
        <f>Divident_all!#REF!</f>
        <v>#REF!</v>
      </c>
      <c r="O12" s="277" t="e">
        <f>Divident_all!#REF!</f>
        <v>#REF!</v>
      </c>
      <c r="P12" s="278" t="e">
        <f>Divident_all!#REF!</f>
        <v>#REF!</v>
      </c>
      <c r="Q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522"/>
      <c r="B13" s="380" t="e">
        <f>Divident_all!#REF!</f>
        <v>#REF!</v>
      </c>
      <c r="C13" s="380" t="e">
        <f>Divident_all!#REF!</f>
        <v>#REF!</v>
      </c>
      <c r="D13" s="381" t="e">
        <f>Divident_all!#REF!</f>
        <v>#REF!</v>
      </c>
      <c r="E13" s="382">
        <f ca="1">IFERROR(__xludf.DUMMYFUNCTION("(((H13/GOOGLEFINANCE (""Currency:USDRON""))/D13)+F13)"),0.304014602517674)</f>
        <v>0.30401460251767398</v>
      </c>
      <c r="F13" s="380" t="e">
        <f>Divident_all!#REF!</f>
        <v>#REF!</v>
      </c>
      <c r="G13" s="381">
        <f ca="1">IFERROR(__xludf.DUMMYFUNCTION("H13/GOOGLEFINANCE (""Currency:USDRON"")"),7.78798869629069)</f>
        <v>7.7879886962906903</v>
      </c>
      <c r="H13" s="94">
        <v>35</v>
      </c>
      <c r="I13" s="383" t="e">
        <f t="shared" ref="I13:I22" si="7">D13/C13</f>
        <v>#REF!</v>
      </c>
      <c r="J13" s="381" t="e">
        <f t="shared" ca="1" si="6"/>
        <v>#REF!</v>
      </c>
      <c r="K13" s="384">
        <f ca="1">IFERROR(__xludf.DUMMYFUNCTION("(F13*C13)/100*GOOGLEFINANCE (""Currency:USDRON"")"),0.64716618552625)</f>
        <v>0.64716618552625005</v>
      </c>
      <c r="L13" s="385">
        <f ca="1">IFERROR(__xludf.DUMMYFUNCTION("(((H13/GOOGLEFINANCE (""Currency:USDRON""))/D13)*C13)/100*GOOGLEFINANCE (""Currency:USDRON"")"),0.360459433040078)</f>
        <v>0.36045943304007799</v>
      </c>
      <c r="M13" s="479">
        <f t="shared" ca="1" si="2"/>
        <v>0.55698125319536984</v>
      </c>
      <c r="N13" s="387" t="e">
        <f>Divident_all!#REF!</f>
        <v>#REF!</v>
      </c>
      <c r="O13" s="387" t="e">
        <f>Divident_all!#REF!</f>
        <v>#REF!</v>
      </c>
      <c r="P13" s="388" t="e">
        <f>Divident_all!#REF!</f>
        <v>#REF!</v>
      </c>
      <c r="Q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522"/>
      <c r="B14" s="480" t="e">
        <f>Divident_all!#REF!</f>
        <v>#REF!</v>
      </c>
      <c r="C14" s="480" t="e">
        <f>Divident_all!#REF!</f>
        <v>#REF!</v>
      </c>
      <c r="D14" s="481" t="e">
        <f>Divident_all!#REF!</f>
        <v>#REF!</v>
      </c>
      <c r="E14" s="482">
        <f ca="1">IFERROR(__xludf.DUMMYFUNCTION("(((H14/GOOGLEFINANCE (""Currency:USDRON""))/D14)+F14)"),0.163807941528156)</f>
        <v>0.163807941528156</v>
      </c>
      <c r="F14" s="480" t="e">
        <f>Divident_all!#REF!</f>
        <v>#REF!</v>
      </c>
      <c r="G14" s="481">
        <f ca="1">IFERROR(__xludf.DUMMYFUNCTION("H14/GOOGLEFINANCE (""Currency:USDRON"")"),6.67541888253487)</f>
        <v>6.6754188825348697</v>
      </c>
      <c r="H14" s="400">
        <v>30</v>
      </c>
      <c r="I14" s="483" t="e">
        <f t="shared" si="7"/>
        <v>#REF!</v>
      </c>
      <c r="J14" s="481" t="e">
        <f t="shared" ca="1" si="6"/>
        <v>#REF!</v>
      </c>
      <c r="K14" s="484">
        <f ca="1">IFERROR(__xludf.DUMMYFUNCTION("(F14*C14)/100*GOOGLEFINANCE (""Currency:USDRON"")"),0.814761041322799)</f>
        <v>0.81476104132279903</v>
      </c>
      <c r="L14" s="485">
        <f ca="1">IFERROR(__xludf.DUMMYFUNCTION("(((H14/GOOGLEFINANCE (""Currency:USDRON""))/D14)*C14)/100*GOOGLEFINANCE (""Currency:USDRON"")"),0.274769478309301)</f>
        <v>0.27476947830930099</v>
      </c>
      <c r="M14" s="404">
        <f t="shared" ca="1" si="2"/>
        <v>0.33723934303878977</v>
      </c>
      <c r="N14" s="486" t="e">
        <f>Divident_all!#REF!</f>
        <v>#REF!</v>
      </c>
      <c r="O14" s="486" t="e">
        <f>Divident_all!#REF!</f>
        <v>#REF!</v>
      </c>
      <c r="P14" s="487" t="e">
        <f>Divident_all!#REF!</f>
        <v>#REF!</v>
      </c>
      <c r="Q14" s="166"/>
      <c r="R14" s="279"/>
    </row>
    <row r="15" spans="1:33" ht="12.75">
      <c r="A15" s="522"/>
      <c r="B15" s="328" t="e">
        <f>Divident_all!#REF!</f>
        <v>#REF!</v>
      </c>
      <c r="C15" s="328" t="e">
        <f>Divident_all!#REF!</f>
        <v>#REF!</v>
      </c>
      <c r="D15" s="329" t="e">
        <f>Divident_all!#REF!</f>
        <v>#REF!</v>
      </c>
      <c r="E15" s="330">
        <f ca="1">IFERROR(__xludf.DUMMYFUNCTION("(((H15/GOOGLEFINANCE (""Currency:USDRON""))/D15)+F15)"),0.186578463018344)</f>
        <v>0.18657846301834399</v>
      </c>
      <c r="F15" s="328" t="e">
        <f>Divident_all!#REF!</f>
        <v>#REF!</v>
      </c>
      <c r="G15" s="329">
        <f ca="1">IFERROR(__xludf.DUMMYFUNCTION("H15/GOOGLEFINANCE (""Currency:USDRON"")"),6.67541888253487)</f>
        <v>6.6754188825348697</v>
      </c>
      <c r="H15" s="331">
        <v>30</v>
      </c>
      <c r="I15" s="332" t="e">
        <f t="shared" si="7"/>
        <v>#REF!</v>
      </c>
      <c r="J15" s="329" t="e">
        <f t="shared" ca="1" si="6"/>
        <v>#REF!</v>
      </c>
      <c r="K15" s="333">
        <f ca="1">IFERROR(__xludf.DUMMYFUNCTION("(F15*C15)/100*GOOGLEFINANCE (""Currency:USDRON"")"),0.622254883639999)</f>
        <v>0.62225488363999903</v>
      </c>
      <c r="L15" s="334">
        <f ca="1">IFERROR(__xludf.DUMMYFUNCTION("(((H15/GOOGLEFINANCE (""Currency:USDRON""))/D15)*C15)/100*GOOGLEFINANCE (""Currency:USDRON"")"),0.21624738701074)</f>
        <v>0.21624738701074001</v>
      </c>
      <c r="M15" s="335">
        <f t="shared" ca="1" si="2"/>
        <v>0.34752220142614154</v>
      </c>
      <c r="N15" s="336" t="e">
        <f>Divident_all!#REF!</f>
        <v>#REF!</v>
      </c>
      <c r="O15" s="336" t="e">
        <f>Divident_all!#REF!</f>
        <v>#REF!</v>
      </c>
      <c r="P15" s="337" t="e">
        <f>Divident_all!#REF!</f>
        <v>#REF!</v>
      </c>
      <c r="Q15" s="166"/>
      <c r="R15" s="279"/>
    </row>
    <row r="16" spans="1:33" ht="12.75">
      <c r="A16" s="522"/>
      <c r="B16" s="290" t="e">
        <f>Divident_all!#REF!</f>
        <v>#REF!</v>
      </c>
      <c r="C16" s="290" t="e">
        <f>Divident_all!#REF!</f>
        <v>#REF!</v>
      </c>
      <c r="D16" s="291" t="e">
        <f>Divident_all!#REF!</f>
        <v>#REF!</v>
      </c>
      <c r="E16" s="292">
        <f ca="1">IFERROR(__xludf.DUMMYFUNCTION("(((H16/GOOGLEFINANCE (""Currency:USDRON""))/D16)+F16)"),0.190073621513052)</f>
        <v>0.19007362151305199</v>
      </c>
      <c r="F16" s="290" t="e">
        <f>Divident_all!#REF!</f>
        <v>#REF!</v>
      </c>
      <c r="G16" s="291">
        <f ca="1">IFERROR(__xludf.DUMMYFUNCTION("H16/GOOGLEFINANCE (""Currency:USDRON"")"),5.56284906877906)</f>
        <v>5.5628490687790597</v>
      </c>
      <c r="H16" s="293">
        <v>25</v>
      </c>
      <c r="I16" s="294" t="e">
        <f t="shared" si="7"/>
        <v>#REF!</v>
      </c>
      <c r="J16" s="291" t="e">
        <f t="shared" ca="1" si="6"/>
        <v>#REF!</v>
      </c>
      <c r="K16" s="295">
        <f ca="1">IFERROR(__xludf.DUMMYFUNCTION("(F16*C16)/100*GOOGLEFINANCE (""Currency:USDRON"")"),0.251850802112)</f>
        <v>0.25185080211200001</v>
      </c>
      <c r="L16" s="296">
        <f ca="1">IFERROR(__xludf.DUMMYFUNCTION("(((H16/GOOGLEFINANCE (""Currency:USDRON""))/D16)*C16)/100*GOOGLEFINANCE (""Currency:USDRON"")"),0.166712030484485)</f>
        <v>0.16671203048448499</v>
      </c>
      <c r="M16" s="297">
        <f t="shared" ca="1" si="2"/>
        <v>0.66194758597729964</v>
      </c>
      <c r="N16" s="298" t="e">
        <f>Divident_all!#REF!</f>
        <v>#REF!</v>
      </c>
      <c r="O16" s="298" t="e">
        <f>Divident_all!#REF!</f>
        <v>#REF!</v>
      </c>
      <c r="P16" s="299" t="e">
        <f>Divident_all!#REF!</f>
        <v>#REF!</v>
      </c>
      <c r="Q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522"/>
      <c r="B17" s="489" t="e">
        <f>Divident_all!#REF!</f>
        <v>#REF!</v>
      </c>
      <c r="C17" s="489" t="e">
        <f>Divident_all!#REF!</f>
        <v>#REF!</v>
      </c>
      <c r="D17" s="490" t="e">
        <f>Divident_all!#REF!</f>
        <v>#REF!</v>
      </c>
      <c r="E17" s="491">
        <f ca="1">IFERROR(__xludf.DUMMYFUNCTION("(((H17/GOOGLEFINANCE (""Currency:USDRON""))/D17)+F17)"),0.106687749847241)</f>
        <v>0.106687749847241</v>
      </c>
      <c r="F17" s="489" t="e">
        <f>Divident_all!#REF!</f>
        <v>#REF!</v>
      </c>
      <c r="G17" s="490">
        <f ca="1">IFERROR(__xludf.DUMMYFUNCTION("H17/GOOGLEFINANCE (""Currency:USDRON"")"),5.56284906877906)</f>
        <v>5.5628490687790597</v>
      </c>
      <c r="H17" s="492">
        <v>25</v>
      </c>
      <c r="I17" s="493" t="e">
        <f t="shared" si="7"/>
        <v>#REF!</v>
      </c>
      <c r="J17" s="490" t="e">
        <f t="shared" ca="1" si="6"/>
        <v>#REF!</v>
      </c>
      <c r="K17" s="494">
        <f ca="1">IFERROR(__xludf.DUMMYFUNCTION("(F17*C17)/100*GOOGLEFINANCE (""Currency:USDRON"")"),0.686204690762499)</f>
        <v>0.68620469076249901</v>
      </c>
      <c r="L17" s="495">
        <f ca="1">IFERROR(__xludf.DUMMYFUNCTION("(((H17/GOOGLEFINANCE (""Currency:USDRON""))/D17)*C17)/100*GOOGLEFINANCE (""Currency:USDRON"")"),0.152859788267356)</f>
        <v>0.15285978826735599</v>
      </c>
      <c r="M17" s="496">
        <f t="shared" ca="1" si="2"/>
        <v>0.22276121152348988</v>
      </c>
      <c r="N17" s="497" t="e">
        <f>Divident_all!#REF!</f>
        <v>#REF!</v>
      </c>
      <c r="O17" s="497" t="e">
        <f>Divident_all!#REF!</f>
        <v>#REF!</v>
      </c>
      <c r="P17" s="498" t="e">
        <f>Divident_all!#REF!</f>
        <v>#REF!</v>
      </c>
      <c r="Q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522"/>
      <c r="B18" s="320" t="e">
        <f>Divident_all!#REF!</f>
        <v>#REF!</v>
      </c>
      <c r="C18" s="320" t="e">
        <f>Divident_all!#REF!</f>
        <v>#REF!</v>
      </c>
      <c r="D18" s="321" t="e">
        <f>Divident_all!#REF!</f>
        <v>#REF!</v>
      </c>
      <c r="E18" s="322">
        <f ca="1">IFERROR(__xludf.DUMMYFUNCTION("(((H18/GOOGLEFINANCE (""Currency:USDRON""))/D18)+F18)"),0.285588394083596)</f>
        <v>0.28558839408359599</v>
      </c>
      <c r="F18" s="320" t="e">
        <f>Divident_all!#REF!</f>
        <v>#REF!</v>
      </c>
      <c r="G18" s="321">
        <f ca="1">IFERROR(__xludf.DUMMYFUNCTION("H18/GOOGLEFINANCE (""Currency:USDRON"")"),5.56284906877906)</f>
        <v>5.5628490687790597</v>
      </c>
      <c r="H18" s="293">
        <v>25</v>
      </c>
      <c r="I18" s="323" t="e">
        <f t="shared" si="7"/>
        <v>#REF!</v>
      </c>
      <c r="J18" s="321" t="e">
        <f t="shared" ca="1" si="6"/>
        <v>#REF!</v>
      </c>
      <c r="K18" s="324">
        <f ca="1">IFERROR(__xludf.DUMMYFUNCTION("(F18*C18)/100*GOOGLEFINANCE (""Currency:USDRON"")"),0.457310987327999)</f>
        <v>0.45731098732799902</v>
      </c>
      <c r="L18" s="325">
        <f ca="1">IFERROR(__xludf.DUMMYFUNCTION("(((H18/GOOGLEFINANCE (""Currency:USDRON""))/D18)*C18)/100*GOOGLEFINANCE (""Currency:USDRON"")"),0.158751157560523)</f>
        <v>0.15875115756052299</v>
      </c>
      <c r="M18" s="297">
        <f t="shared" ca="1" si="2"/>
        <v>0.34714048417704263</v>
      </c>
      <c r="N18" s="326" t="e">
        <f>Divident_all!#REF!</f>
        <v>#REF!</v>
      </c>
      <c r="O18" s="326" t="e">
        <f>Divident_all!#REF!</f>
        <v>#REF!</v>
      </c>
      <c r="P18" s="327" t="e">
        <f>Divident_all!#REF!</f>
        <v>#REF!</v>
      </c>
      <c r="Q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522"/>
      <c r="B19" s="290" t="e">
        <f>Divident_all!#REF!</f>
        <v>#REF!</v>
      </c>
      <c r="C19" s="290" t="e">
        <f>Divident_all!#REF!</f>
        <v>#REF!</v>
      </c>
      <c r="D19" s="291" t="e">
        <f>Divident_all!#REF!</f>
        <v>#REF!</v>
      </c>
      <c r="E19" s="292">
        <f ca="1">IFERROR(__xludf.DUMMYFUNCTION("(((H19/GOOGLEFINANCE (""Currency:USDRON""))/D19)+F19)"),0.157143160058139)</f>
        <v>0.157143160058139</v>
      </c>
      <c r="F19" s="290" t="e">
        <f>Divident_all!#REF!</f>
        <v>#REF!</v>
      </c>
      <c r="G19" s="291">
        <f ca="1">IFERROR(__xludf.DUMMYFUNCTION("H19/GOOGLEFINANCE (""Currency:USDRON"")"),5.56284906877906)</f>
        <v>5.5628490687790597</v>
      </c>
      <c r="H19" s="293">
        <v>25</v>
      </c>
      <c r="I19" s="294" t="e">
        <f t="shared" si="7"/>
        <v>#REF!</v>
      </c>
      <c r="J19" s="291" t="e">
        <f t="shared" ca="1" si="6"/>
        <v>#REF!</v>
      </c>
      <c r="K19" s="295">
        <f ca="1">IFERROR(__xludf.DUMMYFUNCTION("(F19*C19)/100*GOOGLEFINANCE (""Currency:USDRON"")"),0.508593369920596)</f>
        <v>0.50859336992059601</v>
      </c>
      <c r="L19" s="296">
        <f ca="1">IFERROR(__xludf.DUMMYFUNCTION("(((H19/GOOGLEFINANCE (""Currency:USDRON""))/D19)*C19)/100*GOOGLEFINANCE (""Currency:USDRON"")"),0.155745033112582)</f>
        <v>0.155745033112582</v>
      </c>
      <c r="M19" s="297">
        <f t="shared" ca="1" si="2"/>
        <v>0.30622702206459684</v>
      </c>
      <c r="N19" s="298" t="e">
        <f>Divident_all!#REF!</f>
        <v>#REF!</v>
      </c>
      <c r="O19" s="298" t="e">
        <f>Divident_all!#REF!</f>
        <v>#REF!</v>
      </c>
      <c r="P19" s="299" t="e">
        <f>Divident_all!#REF!</f>
        <v>#REF!</v>
      </c>
      <c r="Q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522"/>
      <c r="B20" s="407" t="e">
        <f>Divident_all!#REF!</f>
        <v>#REF!</v>
      </c>
      <c r="C20" s="407" t="e">
        <f>Divident_all!#REF!</f>
        <v>#REF!</v>
      </c>
      <c r="D20" s="408" t="e">
        <f>Divident_all!#REF!</f>
        <v>#REF!</v>
      </c>
      <c r="E20" s="409">
        <f ca="1">IFERROR(__xludf.DUMMYFUNCTION("(((H20/GOOGLEFINANCE (""Currency:USDRON""))/D20)+F20)"),0.0885334793393608)</f>
        <v>8.8533479339360802E-2</v>
      </c>
      <c r="F20" s="407" t="e">
        <f>Divident_all!#REF!</f>
        <v>#REF!</v>
      </c>
      <c r="G20" s="408">
        <f ca="1">IFERROR(__xludf.DUMMYFUNCTION("H20/GOOGLEFINANCE (""Currency:USDRON"")"),5.56284906877906)</f>
        <v>5.5628490687790597</v>
      </c>
      <c r="H20" s="410">
        <v>25</v>
      </c>
      <c r="I20" s="411" t="e">
        <f t="shared" si="7"/>
        <v>#REF!</v>
      </c>
      <c r="J20" s="408" t="e">
        <f t="shared" ca="1" si="6"/>
        <v>#REF!</v>
      </c>
      <c r="K20" s="412">
        <f ca="1">IFERROR(__xludf.DUMMYFUNCTION("(F20*C20)/100*GOOGLEFINANCE (""Currency:USDRON"")"),0.3802654671816)</f>
        <v>0.38026546718159998</v>
      </c>
      <c r="L20" s="413">
        <f ca="1">IFERROR(__xludf.DUMMYFUNCTION("(((H20/GOOGLEFINANCE (""Currency:USDRON""))/D20)*C20)/100*GOOGLEFINANCE (""Currency:USDRON"")"),0.144933901357108)</f>
        <v>0.14493390135710801</v>
      </c>
      <c r="M20" s="499">
        <f t="shared" ca="1" si="2"/>
        <v>0.38113874086781913</v>
      </c>
      <c r="N20" s="415" t="e">
        <f>Divident_all!#REF!</f>
        <v>#REF!</v>
      </c>
      <c r="O20" s="415" t="e">
        <f>Divident_all!#REF!</f>
        <v>#REF!</v>
      </c>
      <c r="P20" s="416" t="e">
        <f>Divident_all!#REF!</f>
        <v>#REF!</v>
      </c>
      <c r="Q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522"/>
      <c r="B21" s="407" t="e">
        <f>Divident_all!#REF!</f>
        <v>#REF!</v>
      </c>
      <c r="C21" s="407" t="e">
        <f>Divident_all!#REF!</f>
        <v>#REF!</v>
      </c>
      <c r="D21" s="408" t="e">
        <f>Divident_all!#REF!</f>
        <v>#REF!</v>
      </c>
      <c r="E21" s="409">
        <f ca="1">IFERROR(__xludf.DUMMYFUNCTION("(((H21/GOOGLEFINANCE (""Currency:USDRON""))/D21)+F21)"),0.0835187757366732)</f>
        <v>8.3518775736673198E-2</v>
      </c>
      <c r="F21" s="407" t="e">
        <f>Divident_all!#REF!</f>
        <v>#REF!</v>
      </c>
      <c r="G21" s="408">
        <f ca="1">IFERROR(__xludf.DUMMYFUNCTION("H21/GOOGLEFINANCE (""Currency:USDRON"")"),5.56284906877906)</f>
        <v>5.5628490687790597</v>
      </c>
      <c r="H21" s="410">
        <v>25</v>
      </c>
      <c r="I21" s="411" t="e">
        <f t="shared" si="7"/>
        <v>#REF!</v>
      </c>
      <c r="J21" s="408" t="e">
        <f t="shared" ca="1" si="6"/>
        <v>#REF!</v>
      </c>
      <c r="K21" s="412">
        <f ca="1">IFERROR(__xludf.DUMMYFUNCTION("(F21*C21)/100*GOOGLEFINANCE (""Currency:USDRON"")"),0.316289904371999)</f>
        <v>0.316289904371999</v>
      </c>
      <c r="L21" s="413">
        <f ca="1">IFERROR(__xludf.DUMMYFUNCTION("(((H21/GOOGLEFINANCE (""Currency:USDRON""))/D21)*C21)/100*GOOGLEFINANCE (""Currency:USDRON"")"),0.134120171673819)</f>
        <v>0.13412017167381901</v>
      </c>
      <c r="M21" s="499">
        <f t="shared" ca="1" si="2"/>
        <v>0.424041898966449</v>
      </c>
      <c r="N21" s="415" t="e">
        <f>Divident_all!#REF!</f>
        <v>#REF!</v>
      </c>
      <c r="O21" s="415" t="e">
        <f>Divident_all!#REF!</f>
        <v>#REF!</v>
      </c>
      <c r="P21" s="416" t="e">
        <f>Divident_all!#REF!</f>
        <v>#REF!</v>
      </c>
      <c r="Q21" s="166"/>
      <c r="R21" s="279"/>
    </row>
    <row r="22" spans="1:33" ht="12.75">
      <c r="A22" s="522"/>
      <c r="B22" s="338" t="e">
        <f>Divident_all!#REF!</f>
        <v>#REF!</v>
      </c>
      <c r="C22" s="338" t="e">
        <f>Divident_all!#REF!</f>
        <v>#REF!</v>
      </c>
      <c r="D22" s="339" t="e">
        <f>Divident_all!#REF!</f>
        <v>#REF!</v>
      </c>
      <c r="E22" s="340">
        <f ca="1">IFERROR(__xludf.DUMMYFUNCTION("(((H22/GOOGLEFINANCE (""Currency:USDRON""))/D22)+F22)"),0.194497928363704)</f>
        <v>0.194497928363704</v>
      </c>
      <c r="F22" s="338" t="e">
        <f>Divident_all!#REF!</f>
        <v>#REF!</v>
      </c>
      <c r="G22" s="339">
        <f ca="1">IFERROR(__xludf.DUMMYFUNCTION("H22/GOOGLEFINANCE (""Currency:USDRON"")"),5.56284906877906)</f>
        <v>5.5628490687790597</v>
      </c>
      <c r="H22" s="341">
        <v>25</v>
      </c>
      <c r="I22" s="342" t="e">
        <f t="shared" si="7"/>
        <v>#REF!</v>
      </c>
      <c r="J22" s="339" t="e">
        <f t="shared" ca="1" si="6"/>
        <v>#REF!</v>
      </c>
      <c r="K22" s="333">
        <f ca="1">IFERROR(__xludf.DUMMYFUNCTION("(F22*C22)/100*GOOGLEFINANCE (""Currency:USDRON"")"),0.419472413532899)</f>
        <v>0.41947241353289899</v>
      </c>
      <c r="L22" s="343">
        <f ca="1">IFERROR(__xludf.DUMMYFUNCTION("(((H22/GOOGLEFINANCE (""Currency:USDRON""))/D22)*C22)/100*GOOGLEFINANCE (""Currency:USDRON"")"),0.131206264578473)</f>
        <v>0.13120626457847301</v>
      </c>
      <c r="M22" s="335">
        <f t="shared" ca="1" si="2"/>
        <v>0.3127887802523695</v>
      </c>
      <c r="N22" s="344" t="e">
        <f>Divident_all!#REF!</f>
        <v>#REF!</v>
      </c>
      <c r="O22" s="344" t="e">
        <f>Divident_all!#REF!</f>
        <v>#REF!</v>
      </c>
      <c r="P22" s="345" t="e">
        <f>Divident_all!#REF!</f>
        <v>#REF!</v>
      </c>
      <c r="Q22" s="166"/>
      <c r="R22" s="27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105</v>
      </c>
      <c r="L2" s="264">
        <f ca="1">((L4*4)*100)/(500+K2)</f>
        <v>4.9091288363386312</v>
      </c>
      <c r="M2" s="12">
        <v>10</v>
      </c>
      <c r="N2" s="12"/>
      <c r="O2" s="12"/>
      <c r="P2" s="12"/>
    </row>
    <row r="3" spans="1:33" ht="15.75" customHeight="1">
      <c r="A3" s="265" t="s">
        <v>31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AVERAGE(C5:C28)</f>
        <v>#REF!</v>
      </c>
      <c r="D4" s="118" t="e">
        <f t="shared" si="0"/>
        <v>#REF!</v>
      </c>
      <c r="E4" s="267">
        <f t="shared" ca="1" si="0"/>
        <v>1.2413968167300422</v>
      </c>
      <c r="F4" s="116"/>
      <c r="G4" s="247">
        <f ca="1">SUM(G5:G28)</f>
        <v>138.28430665740544</v>
      </c>
      <c r="H4" s="116">
        <f>500+K2+M2-SUM(H5:H28)</f>
        <v>0</v>
      </c>
      <c r="I4" s="118"/>
      <c r="J4" s="118" t="e">
        <f t="shared" ref="J4:L4" ca="1" si="1">SUM(J5:J28)</f>
        <v>#REF!</v>
      </c>
      <c r="K4" s="123">
        <f t="shared" ca="1" si="1"/>
        <v>19.983893494638526</v>
      </c>
      <c r="L4" s="123">
        <f t="shared" ca="1" si="1"/>
        <v>7.4250573649621803</v>
      </c>
      <c r="M4" s="117">
        <f t="shared" ref="M4:M28" ca="1" si="2">L4/K4</f>
        <v>0.37155208853341054</v>
      </c>
      <c r="N4" s="125"/>
      <c r="O4" s="125"/>
      <c r="P4" s="126"/>
    </row>
    <row r="5" spans="1:33" ht="12.75">
      <c r="A5" s="166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(""Currency:USDRON""))/D5)+F5)"),2.17788806747002)</f>
        <v>2.1778880674700201</v>
      </c>
      <c r="F5" s="269" t="e">
        <f>Divident_all!#REF!</f>
        <v>#REF!</v>
      </c>
      <c r="G5" s="270">
        <f ca="1">IFERROR(__xludf.DUMMYFUNCTION("H5/GOOGLEFINANCE (""Currency:USDRON"")"),7.78798869629069)</f>
        <v>7.7879886962906903</v>
      </c>
      <c r="H5" s="272">
        <v>35</v>
      </c>
      <c r="I5" s="273" t="e">
        <f t="shared" ref="I5:I9" si="3">D5/C5</f>
        <v>#REF!</v>
      </c>
      <c r="J5" s="270" t="e">
        <f t="shared" ref="J5:J8" ca="1" si="4">((E5*C5)/100)</f>
        <v>#REF!</v>
      </c>
      <c r="K5" s="319">
        <f ca="1">IFERROR(__xludf.DUMMYFUNCTION("(F5*C5)/100*GOOGLEFINANCE (""Currency:USDRON"")"),2.55846955831999)</f>
        <v>2.5584695583199899</v>
      </c>
      <c r="L5" s="275">
        <f ca="1">IFERROR(__xludf.DUMMYFUNCTION("(((H5/GOOGLEFINANCE (""Currency:USDRON""))/D5)*C5)/100*GOOGLEFINANCE (""Currency:USDRON"")"),1.35658914728682)</f>
        <v>1.3565891472868199</v>
      </c>
      <c r="M5" s="488">
        <f t="shared" ca="1" si="2"/>
        <v>0.53023462517866327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Q5" s="166"/>
      <c r="R5" s="279"/>
    </row>
    <row r="6" spans="1:33" ht="12.75">
      <c r="A6" s="166"/>
      <c r="B6" s="300" t="e">
        <f>Divident_all!#REF!</f>
        <v>#REF!</v>
      </c>
      <c r="C6" s="300" t="e">
        <f>Divident_all!#REF!</f>
        <v>#REF!</v>
      </c>
      <c r="D6" s="372" t="e">
        <f>Divident_all!#REF!</f>
        <v>#REF!</v>
      </c>
      <c r="E6" s="302">
        <f ca="1">IFERROR(__xludf.DUMMYFUNCTION("(((H6/GOOGLEFINANCE (""Currency:cadRON""))/D6)+F6)"),0.824108850043763)</f>
        <v>0.824108850043763</v>
      </c>
      <c r="F6" s="300" t="e">
        <f>Divident_all!#REF!</f>
        <v>#REF!</v>
      </c>
      <c r="G6" s="373">
        <f ca="1">IFERROR(__xludf.DUMMYFUNCTION("H6/GOOGLEFINANCE (""Currency:cadRON"")"),10.5281916757522)</f>
        <v>10.5281916757522</v>
      </c>
      <c r="H6" s="303">
        <v>35</v>
      </c>
      <c r="I6" s="304" t="e">
        <f t="shared" si="3"/>
        <v>#REF!</v>
      </c>
      <c r="J6" s="372" t="e">
        <f t="shared" ca="1" si="4"/>
        <v>#REF!</v>
      </c>
      <c r="K6" s="305">
        <f ca="1">IFERROR(__xludf.DUMMYFUNCTION("(F6*C6)/100*GOOGLEFINANCE (""Currency:cadRON"")"),1.65567368778498)</f>
        <v>1.65567368778498</v>
      </c>
      <c r="L6" s="306">
        <f ca="1">IFERROR(__xludf.DUMMYFUNCTION("(((H6/GOOGLEFINANCE (""Currency:cadRON""))/D6)*C6)/100*GOOGLEFINANCE (""Currency:cadRON"")"),0.775786713286713)</f>
        <v>0.775786713286713</v>
      </c>
      <c r="M6" s="307">
        <f t="shared" ca="1" si="2"/>
        <v>0.46856256701439064</v>
      </c>
      <c r="N6" s="308" t="e">
        <f>Divident_all!#REF!</f>
        <v>#REF!</v>
      </c>
      <c r="O6" s="308" t="e">
        <f>Divident_all!#REF!</f>
        <v>#REF!</v>
      </c>
      <c r="P6" s="309" t="e">
        <f>Divident_all!#REF!</f>
        <v>#REF!</v>
      </c>
      <c r="Q6" s="234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328" t="e">
        <f>Divident_all!#REF!</f>
        <v>#REF!</v>
      </c>
      <c r="C7" s="328" t="e">
        <f>Divident_all!#REF!</f>
        <v>#REF!</v>
      </c>
      <c r="D7" s="329" t="e">
        <f>Divident_all!#REF!</f>
        <v>#REF!</v>
      </c>
      <c r="E7" s="330">
        <f ca="1">IFERROR(__xludf.DUMMYFUNCTION("(((H7/GOOGLEFINANCE (""Currency:USDRON""))/D7)+F7)"),2.85668747494641)</f>
        <v>2.8566874749464102</v>
      </c>
      <c r="F7" s="328" t="e">
        <f>Divident_all!#REF!</f>
        <v>#REF!</v>
      </c>
      <c r="G7" s="329">
        <f ca="1">IFERROR(__xludf.DUMMYFUNCTION("H7/GOOGLEFINANCE (""Currency:USDRON"")"),6.67541888253487)</f>
        <v>6.6754188825348697</v>
      </c>
      <c r="H7" s="331">
        <v>30</v>
      </c>
      <c r="I7" s="332" t="e">
        <f t="shared" si="3"/>
        <v>#REF!</v>
      </c>
      <c r="J7" s="329" t="e">
        <f t="shared" ca="1" si="4"/>
        <v>#REF!</v>
      </c>
      <c r="K7" s="333">
        <f ca="1">IFERROR(__xludf.DUMMYFUNCTION("(F7*C7)/100*GOOGLEFINANCE (""Currency:USDRON"")"),1.59494305710999)</f>
        <v>1.5949430571099901</v>
      </c>
      <c r="L7" s="334">
        <f ca="1">IFERROR(__xludf.DUMMYFUNCTION("(((H7/GOOGLEFINANCE (""Currency:USDRON""))/D7)*C7)/100*GOOGLEFINANCE (""Currency:USDRON"")"),0.587557603686635)</f>
        <v>0.58755760368663501</v>
      </c>
      <c r="M7" s="335">
        <f t="shared" ca="1" si="2"/>
        <v>0.36838782492415717</v>
      </c>
      <c r="N7" s="336" t="e">
        <f>Divident_all!#REF!</f>
        <v>#REF!</v>
      </c>
      <c r="O7" s="336" t="e">
        <f>Divident_all!#REF!</f>
        <v>#REF!</v>
      </c>
      <c r="P7" s="337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503" t="e">
        <f>Divident_all!#REF!</f>
        <v>#REF!</v>
      </c>
      <c r="C8" s="503" t="e">
        <f>Divident_all!#REF!</f>
        <v>#REF!</v>
      </c>
      <c r="D8" s="504" t="e">
        <f>Divident_all!#REF!</f>
        <v>#REF!</v>
      </c>
      <c r="E8" s="505">
        <f ca="1">IFERROR(__xludf.DUMMYFUNCTION("(((H8/GOOGLEFINANCE (""Currency:USDRON""))/D8)+F8)"),0.288336525772562)</f>
        <v>0.28833652577256202</v>
      </c>
      <c r="F8" s="503" t="e">
        <f>Divident_all!#REF!</f>
        <v>#REF!</v>
      </c>
      <c r="G8" s="504">
        <f ca="1">IFERROR(__xludf.DUMMYFUNCTION("H8/GOOGLEFINANCE (""Currency:USDRON"")"),6.67541888253487)</f>
        <v>6.6754188825348697</v>
      </c>
      <c r="H8" s="162">
        <v>30</v>
      </c>
      <c r="I8" s="163" t="e">
        <f t="shared" si="3"/>
        <v>#REF!</v>
      </c>
      <c r="J8" s="504" t="e">
        <f t="shared" ca="1" si="4"/>
        <v>#REF!</v>
      </c>
      <c r="K8" s="506">
        <f ca="1">IFERROR(__xludf.DUMMYFUNCTION("(F8*C8)/100*GOOGLEFINANCE (""Currency:USDRON"")"),0.810081029394)</f>
        <v>0.81008102939399995</v>
      </c>
      <c r="L8" s="507">
        <f ca="1">IFERROR(__xludf.DUMMYFUNCTION("(((H8/GOOGLEFINANCE (""Currency:USDRON""))/D8)*C8)/100*GOOGLEFINANCE (""Currency:USDRON"")"),0.427420557959122)</f>
        <v>0.42742055795912198</v>
      </c>
      <c r="M8" s="307">
        <f t="shared" ca="1" si="2"/>
        <v>0.52762691934517203</v>
      </c>
      <c r="N8" s="508" t="e">
        <f>Divident_all!#REF!</f>
        <v>#REF!</v>
      </c>
      <c r="O8" s="508" t="e">
        <f>Divident_all!#REF!</f>
        <v>#REF!</v>
      </c>
      <c r="P8" s="50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00" t="e">
        <f>Divident_all!#REF!</f>
        <v>#REF!</v>
      </c>
      <c r="C9" s="300" t="e">
        <f>Divident_all!#REF!</f>
        <v>#REF!</v>
      </c>
      <c r="D9" s="510" t="e">
        <f>Divident_all!#REF!</f>
        <v>#REF!</v>
      </c>
      <c r="E9" s="302">
        <f ca="1">IFERROR(__xludf.DUMMYFUNCTION("(((H9/GOOGLEFINANCE (""Currency:gbpRON"")*100)/D9)+F9)"),15.7290376913518)</f>
        <v>15.729037691351801</v>
      </c>
      <c r="F9" s="300" t="e">
        <f>Divident_all!#REF!</f>
        <v>#REF!</v>
      </c>
      <c r="G9" s="379">
        <f ca="1">IFERROR(__xludf.DUMMYFUNCTION("H9/GOOGLEFINANCE (""Currency:gbpRON"")"),5.37343546851394)</f>
        <v>5.3734354685139403</v>
      </c>
      <c r="H9" s="303">
        <v>30</v>
      </c>
      <c r="I9" s="304" t="e">
        <f t="shared" si="3"/>
        <v>#REF!</v>
      </c>
      <c r="J9" s="379" t="e">
        <f ca="1">((E9*C9)/100)/100</f>
        <v>#REF!</v>
      </c>
      <c r="K9" s="305">
        <f ca="1">IFERROR(__xludf.DUMMYFUNCTION("((F9*C9)/100*GOOGLEFINANCE (""Currency:gbpRON""))/100"),1.10467906444247)</f>
        <v>1.10467906444247</v>
      </c>
      <c r="L9" s="306">
        <f ca="1">IFERROR(__xludf.DUMMYFUNCTION("(((H9/GOOGLEFINANCE (""Currency:gbpRON""))/D9)*C9)/100*GOOGLEFINANCE (""Currency:gbpRON"")"),0.396966648611003)</f>
        <v>0.396966648611003</v>
      </c>
      <c r="M9" s="307">
        <f t="shared" ca="1" si="2"/>
        <v>0.3593502053117586</v>
      </c>
      <c r="N9" s="308" t="e">
        <f>Divident_all!#REF!</f>
        <v>#REF!</v>
      </c>
      <c r="O9" s="308" t="e">
        <f>Divident_all!#REF!</f>
        <v>#REF!</v>
      </c>
      <c r="P9" s="309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511" t="e">
        <f>Divident_all!#REF!</f>
        <v>#REF!</v>
      </c>
      <c r="C10" s="511" t="e">
        <f>Divident_all!#REF!</f>
        <v>#REF!</v>
      </c>
      <c r="D10" s="512" t="e">
        <f>Divident_all!#REF!</f>
        <v>#REF!</v>
      </c>
      <c r="E10" s="513">
        <f ca="1">IFERROR(__xludf.DUMMYFUNCTION("(((H10/GOOGLEFINANCE (""Currency:USDRON""))/D10)+F10)"),0.168281831407326)</f>
        <v>0.168281831407326</v>
      </c>
      <c r="F10" s="511" t="e">
        <f>Divident_all!#REF!</f>
        <v>#REF!</v>
      </c>
      <c r="G10" s="512">
        <f ca="1">IFERROR(__xludf.DUMMYFUNCTION("H10/GOOGLEFINANCE (""Currency:usdRON"")"),6.67541888253487)</f>
        <v>6.6754188825348697</v>
      </c>
      <c r="H10" s="514">
        <v>30</v>
      </c>
      <c r="I10" s="515" t="e">
        <f>D10/(C10)</f>
        <v>#REF!</v>
      </c>
      <c r="J10" s="512" t="e">
        <f t="shared" ref="J10:J28" ca="1" si="5">((E10*C10)/100)</f>
        <v>#REF!</v>
      </c>
      <c r="K10" s="516">
        <f ca="1">IFERROR(__xludf.DUMMYFUNCTION("(F10*C10)/100*GOOGLEFINANCE (""Currency:usdRON"")"),0.861558136081499)</f>
        <v>0.861558136081499</v>
      </c>
      <c r="L10" s="517">
        <f ca="1">IFERROR(__xludf.DUMMYFUNCTION("(((H10/GOOGLEFINANCE (""Currency:usdRON""))/D10)*C10)/100*GOOGLEFINANCE (""Currency:usdRON"")"),0.386296238489152)</f>
        <v>0.38629623848915201</v>
      </c>
      <c r="M10" s="362">
        <f t="shared" ca="1" si="2"/>
        <v>0.44836932333561103</v>
      </c>
      <c r="N10" s="518" t="e">
        <f>Divident_all!#REF!</f>
        <v>#REF!</v>
      </c>
      <c r="O10" s="518" t="e">
        <f>Divident_all!#REF!</f>
        <v>#REF!</v>
      </c>
      <c r="P10" s="519" t="e">
        <f>Divident_all!#REF!</f>
        <v>#REF!</v>
      </c>
      <c r="Q10" s="234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(""Currency:USDRON""))/D11)+F11)"),0.716637989246236)</f>
        <v>0.71663798924623601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 t="shared" ref="I11:I15" si="6">D11/C11</f>
        <v>#REF!</v>
      </c>
      <c r="J11" s="270" t="e">
        <f t="shared" ca="1" si="5"/>
        <v>#REF!</v>
      </c>
      <c r="K11" s="319">
        <f ca="1">IFERROR(__xludf.DUMMYFUNCTION("(F11*C11)/100*GOOGLEFINANCE (""Currency:USDRON"")"),1.383483293335)</f>
        <v>1.3834832933350001</v>
      </c>
      <c r="L11" s="275">
        <f ca="1">IFERROR(__xludf.DUMMYFUNCTION("(((H11/GOOGLEFINANCE (""Currency:USDRON""))/D11)*C11)/100*GOOGLEFINANCE (""Currency:USDRON"")"),0.38787023977433)</f>
        <v>0.38787023977432999</v>
      </c>
      <c r="M11" s="488">
        <f t="shared" ca="1" si="2"/>
        <v>0.28035773300835237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328" t="e">
        <f>Divident_all!#REF!</f>
        <v>#REF!</v>
      </c>
      <c r="C12" s="328" t="e">
        <f>Divident_all!#REF!</f>
        <v>#REF!</v>
      </c>
      <c r="D12" s="329" t="e">
        <f>Divident_all!#REF!</f>
        <v>#REF!</v>
      </c>
      <c r="E12" s="330">
        <f ca="1">IFERROR(__xludf.DUMMYFUNCTION("(((H12/GOOGLEFINANCE (""Currency:USDRON""))/D12)+F12)"),0.798575582806813)</f>
        <v>0.79857558280681296</v>
      </c>
      <c r="F12" s="328" t="e">
        <f>Divident_all!#REF!</f>
        <v>#REF!</v>
      </c>
      <c r="G12" s="329">
        <f ca="1">IFERROR(__xludf.DUMMYFUNCTION("H12/GOOGLEFINANCE (""Currency:USDRON"")"),6.67541888253487)</f>
        <v>6.6754188825348697</v>
      </c>
      <c r="H12" s="331">
        <v>30</v>
      </c>
      <c r="I12" s="332" t="e">
        <f t="shared" si="6"/>
        <v>#REF!</v>
      </c>
      <c r="J12" s="329" t="e">
        <f t="shared" ca="1" si="5"/>
        <v>#REF!</v>
      </c>
      <c r="K12" s="333">
        <f ca="1">IFERROR(__xludf.DUMMYFUNCTION("(F12*C12)/100*GOOGLEFINANCE (""Currency:USDRON"")"),0.74134314072)</f>
        <v>0.74134314071999996</v>
      </c>
      <c r="L12" s="334">
        <f ca="1">IFERROR(__xludf.DUMMYFUNCTION("(((H12/GOOGLEFINANCE (""Currency:USDRON""))/D12)*C12)/100*GOOGLEFINANCE (""Currency:USDRON"")"),0.33532041728763)</f>
        <v>0.33532041728763001</v>
      </c>
      <c r="M12" s="335">
        <f t="shared" ca="1" si="2"/>
        <v>0.45231472292569325</v>
      </c>
      <c r="N12" s="336" t="e">
        <f>Divident_all!#REF!</f>
        <v>#REF!</v>
      </c>
      <c r="O12" s="336" t="e">
        <f>Divident_all!#REF!</f>
        <v>#REF!</v>
      </c>
      <c r="P12" s="337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300" t="e">
        <f>Divident_all!#REF!</f>
        <v>#REF!</v>
      </c>
      <c r="C13" s="300" t="e">
        <f>Divident_all!#REF!</f>
        <v>#REF!</v>
      </c>
      <c r="D13" s="301" t="e">
        <f>Divident_all!#REF!</f>
        <v>#REF!</v>
      </c>
      <c r="E13" s="302">
        <f ca="1">IFERROR(__xludf.DUMMYFUNCTION("(((H13/GOOGLEFINANCE (""Currency:USDRON""))/D13)+F13)"),0.631042218889474)</f>
        <v>0.63104221888947398</v>
      </c>
      <c r="F13" s="300" t="e">
        <f>Divident_all!#REF!</f>
        <v>#REF!</v>
      </c>
      <c r="G13" s="301">
        <f ca="1">IFERROR(__xludf.DUMMYFUNCTION("H13/GOOGLEFINANCE (""Currency:USDRON"")"),6.67541888253487)</f>
        <v>6.6754188825348697</v>
      </c>
      <c r="H13" s="303">
        <v>30</v>
      </c>
      <c r="I13" s="304" t="e">
        <f t="shared" si="6"/>
        <v>#REF!</v>
      </c>
      <c r="J13" s="301" t="e">
        <f t="shared" ca="1" si="5"/>
        <v>#REF!</v>
      </c>
      <c r="K13" s="305">
        <f ca="1">IFERROR(__xludf.DUMMYFUNCTION("(F13*C13)/100*GOOGLEFINANCE (""Currency:USDRON"")"),0.831545827112519)</f>
        <v>0.83154582711251901</v>
      </c>
      <c r="L13" s="306">
        <f ca="1">IFERROR(__xludf.DUMMYFUNCTION("(((H13/GOOGLEFINANCE (""Currency:USDRON""))/D13)*C13)/100*GOOGLEFINANCE (""Currency:USDRON"")"),0.293198620009857)</f>
        <v>0.29319862000985702</v>
      </c>
      <c r="M13" s="307">
        <f t="shared" ca="1" si="2"/>
        <v>0.35259466219434643</v>
      </c>
      <c r="N13" s="308" t="e">
        <f>Divident_all!#REF!</f>
        <v>#REF!</v>
      </c>
      <c r="O13" s="308" t="e">
        <f>Divident_all!#REF!</f>
        <v>#REF!</v>
      </c>
      <c r="P13" s="309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89" t="e">
        <f>Divident_all!#REF!</f>
        <v>#REF!</v>
      </c>
      <c r="C14" s="389" t="e">
        <f>Divident_all!#REF!</f>
        <v>#REF!</v>
      </c>
      <c r="D14" s="390" t="e">
        <f>Divident_all!#REF!</f>
        <v>#REF!</v>
      </c>
      <c r="E14" s="391">
        <f ca="1">IFERROR(__xludf.DUMMYFUNCTION("(((H14/GOOGLEFINANCE (""Currency:USDRON""))/D14)+F14)"),0.199714865736735)</f>
        <v>0.199714865736735</v>
      </c>
      <c r="F14" s="389" t="e">
        <f>Divident_all!#REF!</f>
        <v>#REF!</v>
      </c>
      <c r="G14" s="390">
        <f ca="1">IFERROR(__xludf.DUMMYFUNCTION("H14/GOOGLEFINANCE (""Currency:USDRON"")"),6.67541888253487)</f>
        <v>6.6754188825348697</v>
      </c>
      <c r="H14" s="392">
        <v>30</v>
      </c>
      <c r="I14" s="393" t="e">
        <f t="shared" si="6"/>
        <v>#REF!</v>
      </c>
      <c r="J14" s="390" t="e">
        <f t="shared" ca="1" si="5"/>
        <v>#REF!</v>
      </c>
      <c r="K14" s="520">
        <f ca="1">IFERROR(__xludf.DUMMYFUNCTION("(F14*C14)/100*GOOGLEFINANCE (""Currency:USDRON"")"),0.593238888777599)</f>
        <v>0.593238888777599</v>
      </c>
      <c r="L14" s="394">
        <f ca="1">IFERROR(__xludf.DUMMYFUNCTION("(((H14/GOOGLEFINANCE (""Currency:USDRON""))/D14)*C14)/100*GOOGLEFINANCE (""Currency:USDRON"")"),0.308787382220401)</f>
        <v>0.30878738222040097</v>
      </c>
      <c r="M14" s="386">
        <f t="shared" ca="1" si="2"/>
        <v>0.52051102525775772</v>
      </c>
      <c r="N14" s="395" t="e">
        <f>Divident_all!#REF!</f>
        <v>#REF!</v>
      </c>
      <c r="O14" s="395" t="e">
        <f>Divident_all!#REF!</f>
        <v>#REF!</v>
      </c>
      <c r="P14" s="396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380" t="e">
        <f>Divident_all!#REF!</f>
        <v>#REF!</v>
      </c>
      <c r="C15" s="380" t="e">
        <f>Divident_all!#REF!</f>
        <v>#REF!</v>
      </c>
      <c r="D15" s="381" t="e">
        <f>Divident_all!#REF!</f>
        <v>#REF!</v>
      </c>
      <c r="E15" s="382">
        <f ca="1">IFERROR(__xludf.DUMMYFUNCTION("(((H15/GOOGLEFINANCE (""Currency:USDRON""))/D15)+F15)"),0.686600253613918)</f>
        <v>0.68660025361391797</v>
      </c>
      <c r="F15" s="380" t="e">
        <f>Divident_all!#REF!</f>
        <v>#REF!</v>
      </c>
      <c r="G15" s="381">
        <f ca="1">IFERROR(__xludf.DUMMYFUNCTION("H15/GOOGLEFINANCE (""Currency:USDRON"")"),6.67541888253487)</f>
        <v>6.6754188825348697</v>
      </c>
      <c r="H15" s="94">
        <v>30</v>
      </c>
      <c r="I15" s="383" t="e">
        <f t="shared" si="6"/>
        <v>#REF!</v>
      </c>
      <c r="J15" s="381" t="e">
        <f t="shared" ca="1" si="5"/>
        <v>#REF!</v>
      </c>
      <c r="K15" s="384">
        <f ca="1">IFERROR(__xludf.DUMMYFUNCTION("(F15*C15)/100*GOOGLEFINANCE (""Currency:USDRON"")"),1.18729486335849)</f>
        <v>1.1872948633584901</v>
      </c>
      <c r="L15" s="385">
        <f ca="1">IFERROR(__xludf.DUMMYFUNCTION("(((H15/GOOGLEFINANCE (""Currency:USDRON""))/D15)*C15)/100*GOOGLEFINANCE (""Currency:USDRON"")"),0.309245483528161)</f>
        <v>0.309245483528161</v>
      </c>
      <c r="M15" s="479">
        <f t="shared" ca="1" si="2"/>
        <v>0.2604622432656713</v>
      </c>
      <c r="N15" s="387" t="e">
        <f>Divident_all!#REF!</f>
        <v>#REF!</v>
      </c>
      <c r="O15" s="387" t="e">
        <f>Divident_all!#REF!</f>
        <v>#REF!</v>
      </c>
      <c r="P15" s="388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480" t="e">
        <f>Divident_all!#REF!</f>
        <v>#REF!</v>
      </c>
      <c r="C16" s="480" t="e">
        <f>Divident_all!#REF!</f>
        <v>#REF!</v>
      </c>
      <c r="D16" s="481" t="e">
        <f>Divident_all!#REF!</f>
        <v>#REF!</v>
      </c>
      <c r="E16" s="482">
        <f ca="1">IFERROR(__xludf.DUMMYFUNCTION("(((H16/GOOGLEFINANCE (""Currency:USDRON""))/D16)+F16)"),0.400391066096986)</f>
        <v>0.40039106609698599</v>
      </c>
      <c r="F16" s="480" t="e">
        <f>Divident_all!#REF!</f>
        <v>#REF!</v>
      </c>
      <c r="G16" s="481">
        <f ca="1">IFERROR(__xludf.DUMMYFUNCTION("H16/GOOGLEFINANCE (""Currency:USDRON"")"),6.67541888253487)</f>
        <v>6.6754188825348697</v>
      </c>
      <c r="H16" s="400">
        <v>30</v>
      </c>
      <c r="I16" s="483" t="e">
        <f>D16/(C16)</f>
        <v>#REF!</v>
      </c>
      <c r="J16" s="481" t="e">
        <f t="shared" ca="1" si="5"/>
        <v>#REF!</v>
      </c>
      <c r="K16" s="484">
        <f ca="1">IFERROR(__xludf.DUMMYFUNCTION("(F16*C16)/100*GOOGLEFINANCE (""Currency:USDRON"")"),0.439136801986999)</f>
        <v>0.439136801986999</v>
      </c>
      <c r="L16" s="485">
        <f ca="1">IFERROR(__xludf.DUMMYFUNCTION("(((H16/GOOGLEFINANCE (""Currency:USDRON""))/D16)*C16)/100*GOOGLEFINANCE (""Currency:USDRON"")"),0.298616168973051)</f>
        <v>0.29861616897305099</v>
      </c>
      <c r="M16" s="404">
        <f t="shared" ca="1" si="2"/>
        <v>0.68000715863912442</v>
      </c>
      <c r="N16" s="486" t="e">
        <f>Divident_all!#REF!</f>
        <v>#REF!</v>
      </c>
      <c r="O16" s="486" t="e">
        <f>Divident_all!#REF!</f>
        <v>#REF!</v>
      </c>
      <c r="P16" s="487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389" t="e">
        <f>Divident_all!#REF!</f>
        <v>#REF!</v>
      </c>
      <c r="C17" s="389" t="e">
        <f>Divident_all!#REF!</f>
        <v>#REF!</v>
      </c>
      <c r="D17" s="390" t="e">
        <f>Divident_all!#REF!</f>
        <v>#REF!</v>
      </c>
      <c r="E17" s="391">
        <f ca="1">IFERROR(__xludf.DUMMYFUNCTION("(((H17/GOOGLEFINANCE (""Currency:USDRON""))/D17)+F17)"),0.288454231147888)</f>
        <v>0.28845423114788799</v>
      </c>
      <c r="F17" s="389" t="e">
        <f>Divident_all!#REF!</f>
        <v>#REF!</v>
      </c>
      <c r="G17" s="390">
        <f ca="1">IFERROR(__xludf.DUMMYFUNCTION("H17/GOOGLEFINANCE (""Currency:USDRON"")"),5.56284906877906)</f>
        <v>5.5628490687790597</v>
      </c>
      <c r="H17" s="392">
        <v>25</v>
      </c>
      <c r="I17" s="393" t="e">
        <f t="shared" ref="I17:I20" si="7">D17/C17</f>
        <v>#REF!</v>
      </c>
      <c r="J17" s="390" t="e">
        <f t="shared" ca="1" si="5"/>
        <v>#REF!</v>
      </c>
      <c r="K17" s="520">
        <f ca="1">IFERROR(__xludf.DUMMYFUNCTION("(F17*C17)/100*GOOGLEFINANCE (""Currency:USDRON"")"),0.645204634463999)</f>
        <v>0.645204634463999</v>
      </c>
      <c r="L17" s="394">
        <f ca="1">IFERROR(__xludf.DUMMYFUNCTION("(((H17/GOOGLEFINANCE (""Currency:USDRON""))/D17)*C17)/100*GOOGLEFINANCE (""Currency:USDRON"")"),0.236308034473172)</f>
        <v>0.236308034473172</v>
      </c>
      <c r="M17" s="386">
        <f t="shared" ca="1" si="2"/>
        <v>0.36625284731484281</v>
      </c>
      <c r="N17" s="395" t="e">
        <f>Divident_all!#REF!</f>
        <v>#REF!</v>
      </c>
      <c r="O17" s="395" t="e">
        <f>Divident_all!#REF!</f>
        <v>#REF!</v>
      </c>
      <c r="P17" s="396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300" t="e">
        <f>Divident_all!#REF!</f>
        <v>#REF!</v>
      </c>
      <c r="C18" s="300" t="e">
        <f>Divident_all!#REF!</f>
        <v>#REF!</v>
      </c>
      <c r="D18" s="301" t="e">
        <f>Divident_all!#REF!</f>
        <v>#REF!</v>
      </c>
      <c r="E18" s="302">
        <f ca="1">IFERROR(__xludf.DUMMYFUNCTION("(((H18/GOOGLEFINANCE (""Currency:USDRON""))/D18)+F18)"),0.0991468211365058)</f>
        <v>9.9146821136505803E-2</v>
      </c>
      <c r="F18" s="300" t="e">
        <f>Divident_all!#REF!</f>
        <v>#REF!</v>
      </c>
      <c r="G18" s="301">
        <f ca="1">IFERROR(__xludf.DUMMYFUNCTION("H18/GOOGLEFINANCE (""Currency:USDRON"")"),5.56284906877906)</f>
        <v>5.5628490687790597</v>
      </c>
      <c r="H18" s="303">
        <v>25</v>
      </c>
      <c r="I18" s="304" t="e">
        <f t="shared" si="7"/>
        <v>#REF!</v>
      </c>
      <c r="J18" s="301" t="e">
        <f t="shared" ca="1" si="5"/>
        <v>#REF!</v>
      </c>
      <c r="K18" s="305">
        <f ca="1">IFERROR(__xludf.DUMMYFUNCTION("(F18*C18)/100*GOOGLEFINANCE (""Currency:USDRON"")"),0.4539026259352)</f>
        <v>0.45390262593519998</v>
      </c>
      <c r="L18" s="306">
        <f ca="1">IFERROR(__xludf.DUMMYFUNCTION("(((H18/GOOGLEFINANCE (""Currency:USDRON""))/D18)*C18)/100*GOOGLEFINANCE (""Currency:USDRON"")"),0.218916724657852)</f>
        <v>0.218916724657852</v>
      </c>
      <c r="M18" s="307">
        <f t="shared" ca="1" si="2"/>
        <v>0.48229887237776187</v>
      </c>
      <c r="N18" s="308" t="e">
        <f>Divident_all!#REF!</f>
        <v>#REF!</v>
      </c>
      <c r="O18" s="308" t="e">
        <f>Divident_all!#REF!</f>
        <v>#REF!</v>
      </c>
      <c r="P18" s="309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290" t="e">
        <f>Divident_all!#REF!</f>
        <v>#REF!</v>
      </c>
      <c r="C19" s="290" t="e">
        <f>Divident_all!#REF!</f>
        <v>#REF!</v>
      </c>
      <c r="D19" s="291" t="e">
        <f>Divident_all!#REF!</f>
        <v>#REF!</v>
      </c>
      <c r="E19" s="292">
        <f ca="1">IFERROR(__xludf.DUMMYFUNCTION("(((H19/GOOGLEFINANCE (""Currency:USDRON""))/D19)+F19)"),0.522120274243415)</f>
        <v>0.52212027424341501</v>
      </c>
      <c r="F19" s="290" t="e">
        <f>Divident_all!#REF!</f>
        <v>#REF!</v>
      </c>
      <c r="G19" s="291">
        <f ca="1">IFERROR(__xludf.DUMMYFUNCTION("H19/GOOGLEFINANCE (""Currency:USDRON"")"),5.56284906877906)</f>
        <v>5.5628490687790597</v>
      </c>
      <c r="H19" s="293">
        <v>25</v>
      </c>
      <c r="I19" s="294" t="e">
        <f t="shared" si="7"/>
        <v>#REF!</v>
      </c>
      <c r="J19" s="291" t="e">
        <f t="shared" ca="1" si="5"/>
        <v>#REF!</v>
      </c>
      <c r="K19" s="295">
        <f ca="1">IFERROR(__xludf.DUMMYFUNCTION("(F19*C19)/100*GOOGLEFINANCE (""Currency:USDRON"")"),0.551178130502999)</f>
        <v>0.55117813050299902</v>
      </c>
      <c r="L19" s="296">
        <f ca="1">IFERROR(__xludf.DUMMYFUNCTION("(((H19/GOOGLEFINANCE (""Currency:USDRON""))/D19)*C19)/100*GOOGLEFINANCE (""Currency:USDRON"")"),0.223153908574519)</f>
        <v>0.223153908574519</v>
      </c>
      <c r="M19" s="297">
        <f t="shared" ca="1" si="2"/>
        <v>0.40486713137705815</v>
      </c>
      <c r="N19" s="298" t="e">
        <f>Divident_all!#REF!</f>
        <v>#REF!</v>
      </c>
      <c r="O19" s="298" t="e">
        <f>Divident_all!#REF!</f>
        <v>#REF!</v>
      </c>
      <c r="P19" s="299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269" t="e">
        <f>Divident_all!#REF!</f>
        <v>#REF!</v>
      </c>
      <c r="C20" s="269" t="e">
        <f>Divident_all!#REF!</f>
        <v>#REF!</v>
      </c>
      <c r="D20" s="270" t="e">
        <f>Divident_all!#REF!</f>
        <v>#REF!</v>
      </c>
      <c r="E20" s="271">
        <f ca="1">IFERROR(__xludf.DUMMYFUNCTION("(((H20/GOOGLEFINANCE (""Currency:USDRON""))/D20)+F20)"),1.95746323483297)</f>
        <v>1.9574632348329699</v>
      </c>
      <c r="F20" s="269" t="e">
        <f>Divident_all!#REF!</f>
        <v>#REF!</v>
      </c>
      <c r="G20" s="270">
        <f ca="1">IFERROR(__xludf.DUMMYFUNCTION("H20/GOOGLEFINANCE (""Currency:USDRON"")"),5.56284906877906)</f>
        <v>5.5628490687790597</v>
      </c>
      <c r="H20" s="272">
        <v>25</v>
      </c>
      <c r="I20" s="273" t="e">
        <f t="shared" si="7"/>
        <v>#REF!</v>
      </c>
      <c r="J20" s="270" t="e">
        <f t="shared" ca="1" si="5"/>
        <v>#REF!</v>
      </c>
      <c r="K20" s="319">
        <f ca="1">IFERROR(__xludf.DUMMYFUNCTION("(F20*C20)/100*GOOGLEFINANCE (""Currency:USDRON"")"),2.2457488456975)</f>
        <v>2.2457488456974999</v>
      </c>
      <c r="L20" s="275">
        <f ca="1">IFERROR(__xludf.DUMMYFUNCTION("(((H20/GOOGLEFINANCE (""Currency:USDRON""))/D20)*C20)/100*GOOGLEFINANCE (""Currency:USDRON"")"),0.173435923309788)</f>
        <v>0.17343592330978799</v>
      </c>
      <c r="M20" s="488">
        <f t="shared" ca="1" si="2"/>
        <v>7.7228548349056861E-2</v>
      </c>
      <c r="N20" s="277" t="e">
        <f>Divident_all!#REF!</f>
        <v>#REF!</v>
      </c>
      <c r="O20" s="277" t="e">
        <f>Divident_all!#REF!</f>
        <v>#REF!</v>
      </c>
      <c r="P20" s="278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397" t="e">
        <f>Divident_all!#REF!</f>
        <v>#REF!</v>
      </c>
      <c r="C21" s="397" t="e">
        <f>Divident_all!#REF!</f>
        <v>#REF!</v>
      </c>
      <c r="D21" s="398" t="e">
        <f>Divident_all!#REF!</f>
        <v>#REF!</v>
      </c>
      <c r="E21" s="399">
        <f ca="1">IFERROR(__xludf.DUMMYFUNCTION("(((H21/GOOGLEFINANCE (""Currency:USDRON""))/D21)+F21)"),0.112481970023993)</f>
        <v>0.112481970023993</v>
      </c>
      <c r="F21" s="397" t="e">
        <f>Divident_all!#REF!</f>
        <v>#REF!</v>
      </c>
      <c r="G21" s="398">
        <f ca="1">IFERROR(__xludf.DUMMYFUNCTION("H21/GOOGLEFINANCE (""Currency:USDRON"")"),5.56284906877906)</f>
        <v>5.5628490687790597</v>
      </c>
      <c r="H21" s="400">
        <v>25</v>
      </c>
      <c r="I21" s="401" t="e">
        <f>D21/(C21)</f>
        <v>#REF!</v>
      </c>
      <c r="J21" s="398" t="e">
        <f t="shared" ca="1" si="5"/>
        <v>#REF!</v>
      </c>
      <c r="K21" s="402">
        <f ca="1">IFERROR(__xludf.DUMMYFUNCTION("(F21*C21)/100*GOOGLEFINANCE (""Currency:USDRON"")"),0.400875989520499)</f>
        <v>0.40087598952049902</v>
      </c>
      <c r="L21" s="403">
        <f ca="1">IFERROR(__xludf.DUMMYFUNCTION("(((H21/GOOGLEFINANCE (""Currency:USDRON""))/D21)*C21)/100*GOOGLEFINANCE (""Currency:USDRON"")"),0.170344910757356)</f>
        <v>0.170344910757356</v>
      </c>
      <c r="M21" s="525">
        <f t="shared" ca="1" si="2"/>
        <v>0.42493168763016004</v>
      </c>
      <c r="N21" s="405" t="e">
        <f>Divident_all!#REF!</f>
        <v>#REF!</v>
      </c>
      <c r="O21" s="405" t="e">
        <f>Divident_all!#REF!</f>
        <v>#REF!</v>
      </c>
      <c r="P21" s="406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407" t="e">
        <f>Divident_all!#REF!</f>
        <v>#REF!</v>
      </c>
      <c r="C22" s="407" t="e">
        <f>Divident_all!#REF!</f>
        <v>#REF!</v>
      </c>
      <c r="D22" s="408" t="e">
        <f>Divident_all!#REF!</f>
        <v>#REF!</v>
      </c>
      <c r="E22" s="409">
        <f ca="1">IFERROR(__xludf.DUMMYFUNCTION("(((H22/GOOGLEFINANCE (""Currency:USDRON""))/D22)+F22)"),0.0638903468463638)</f>
        <v>6.3890346846363799E-2</v>
      </c>
      <c r="F22" s="407" t="e">
        <f>Divident_all!#REF!</f>
        <v>#REF!</v>
      </c>
      <c r="G22" s="408">
        <f ca="1">IFERROR(__xludf.DUMMYFUNCTION("H22/GOOGLEFINANCE (""Currency:USDRON"")"),5.56284906877906)</f>
        <v>5.5628490687790597</v>
      </c>
      <c r="H22" s="410">
        <v>25</v>
      </c>
      <c r="I22" s="411" t="e">
        <f t="shared" ref="I22:I28" si="8">D22/C22</f>
        <v>#REF!</v>
      </c>
      <c r="J22" s="408" t="e">
        <f t="shared" ca="1" si="5"/>
        <v>#REF!</v>
      </c>
      <c r="K22" s="500">
        <f ca="1">IFERROR(__xludf.DUMMYFUNCTION("(F22*C22)/100*GOOGLEFINANCE (""Currency:USDRON"")"),0.282778416338599)</f>
        <v>0.28277841633859901</v>
      </c>
      <c r="L22" s="413">
        <f ca="1">IFERROR(__xludf.DUMMYFUNCTION("(((H22/GOOGLEFINANCE (""Currency:USDRON""))/D22)*C22)/100*GOOGLEFINANCE (""Currency:USDRON"")"),0.168015067848122)</f>
        <v>0.16801506784812201</v>
      </c>
      <c r="M22" s="414">
        <f t="shared" ca="1" si="2"/>
        <v>0.59415803378338705</v>
      </c>
      <c r="N22" s="415" t="e">
        <f>Divident_all!#REF!</f>
        <v>#REF!</v>
      </c>
      <c r="O22" s="415" t="e">
        <f>Divident_all!#REF!</f>
        <v>#REF!</v>
      </c>
      <c r="P22" s="416" t="e">
        <f>Divident_all!#REF!</f>
        <v>#REF!</v>
      </c>
      <c r="Q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407" t="e">
        <f>Divident_all!#REF!</f>
        <v>#REF!</v>
      </c>
      <c r="C23" s="407" t="e">
        <f>Divident_all!#REF!</f>
        <v>#REF!</v>
      </c>
      <c r="D23" s="408" t="e">
        <f>Divident_all!#REF!</f>
        <v>#REF!</v>
      </c>
      <c r="E23" s="409">
        <f ca="1">IFERROR(__xludf.DUMMYFUNCTION("(((H23/GOOGLEFINANCE (""Currency:USDRON""))/D23)+F23)"),0.16181971902528)</f>
        <v>0.16181971902528</v>
      </c>
      <c r="F23" s="407" t="e">
        <f>Divident_all!#REF!</f>
        <v>#REF!</v>
      </c>
      <c r="G23" s="408">
        <f ca="1">IFERROR(__xludf.DUMMYFUNCTION("H23/GOOGLEFINANCE (""Currency:USDRON"")"),4.45027925502325)</f>
        <v>4.4502792550232497</v>
      </c>
      <c r="H23" s="410">
        <v>20</v>
      </c>
      <c r="I23" s="411" t="e">
        <f t="shared" si="8"/>
        <v>#REF!</v>
      </c>
      <c r="J23" s="408" t="e">
        <f t="shared" ca="1" si="5"/>
        <v>#REF!</v>
      </c>
      <c r="K23" s="412">
        <f ca="1">IFERROR(__xludf.DUMMYFUNCTION("(F23*C23)/100*GOOGLEFINANCE (""Currency:USDRON"")"),0.257735556416)</f>
        <v>0.25773555641599999</v>
      </c>
      <c r="L23" s="413">
        <f ca="1">IFERROR(__xludf.DUMMYFUNCTION("(((H23/GOOGLEFINANCE (""Currency:USDRON""))/D23)*C23)/100*GOOGLEFINANCE (""Currency:USDRON"")"),0.120426123205187)</f>
        <v>0.120426123205187</v>
      </c>
      <c r="M23" s="499">
        <f t="shared" ca="1" si="2"/>
        <v>0.46724683578703563</v>
      </c>
      <c r="N23" s="415" t="e">
        <f>Divident_all!#REF!</f>
        <v>#REF!</v>
      </c>
      <c r="O23" s="415" t="e">
        <f>Divident_all!#REF!</f>
        <v>#REF!</v>
      </c>
      <c r="P23" s="416" t="e">
        <f>Divident_all!#REF!</f>
        <v>#REF!</v>
      </c>
      <c r="Q23" s="166"/>
      <c r="R23" s="279"/>
    </row>
    <row r="24" spans="1:33" ht="12.75">
      <c r="A24" s="166"/>
      <c r="B24" s="380" t="e">
        <f>Divident_all!#REF!</f>
        <v>#REF!</v>
      </c>
      <c r="C24" s="380" t="e">
        <f>Divident_all!#REF!</f>
        <v>#REF!</v>
      </c>
      <c r="D24" s="381" t="e">
        <f>Divident_all!#REF!</f>
        <v>#REF!</v>
      </c>
      <c r="E24" s="382">
        <f ca="1">IFERROR(__xludf.DUMMYFUNCTION("(((H24/GOOGLEFINANCE (""Currency:USDRON""))/D24)+F24)"),0.106661678777189)</f>
        <v>0.106661678777189</v>
      </c>
      <c r="F24" s="380" t="e">
        <f>Divident_all!#REF!</f>
        <v>#REF!</v>
      </c>
      <c r="G24" s="381">
        <f ca="1">IFERROR(__xludf.DUMMYFUNCTION("H24/GOOGLEFINANCE (""Currency:USDRON"")"),3.33770944126743)</f>
        <v>3.33770944126743</v>
      </c>
      <c r="H24" s="94">
        <v>15</v>
      </c>
      <c r="I24" s="383" t="e">
        <f t="shared" si="8"/>
        <v>#REF!</v>
      </c>
      <c r="J24" s="381" t="e">
        <f t="shared" ca="1" si="5"/>
        <v>#REF!</v>
      </c>
      <c r="K24" s="384">
        <f ca="1">IFERROR(__xludf.DUMMYFUNCTION("(F24*C24)/100*GOOGLEFINANCE (""Currency:USDRON"")"),0.125169808022999)</f>
        <v>0.12516980802299901</v>
      </c>
      <c r="L24" s="385">
        <f ca="1">IFERROR(__xludf.DUMMYFUNCTION("(((H24/GOOGLEFINANCE (""Currency:USDRON""))/D24)*C24)/100*GOOGLEFINANCE (""Currency:USDRON"")"),0.0653711215875452)</f>
        <v>6.5371121587545197E-2</v>
      </c>
      <c r="M24" s="479">
        <f t="shared" ca="1" si="2"/>
        <v>0.52225950187231851</v>
      </c>
      <c r="N24" s="387" t="e">
        <f>Divident_all!#REF!</f>
        <v>#REF!</v>
      </c>
      <c r="O24" s="387" t="e">
        <f>Divident_all!#REF!</f>
        <v>#REF!</v>
      </c>
      <c r="P24" s="388" t="e">
        <f>Divident_all!#REF!</f>
        <v>#REF!</v>
      </c>
      <c r="Q24" s="166"/>
      <c r="R24" s="279"/>
    </row>
    <row r="25" spans="1:33" ht="12.75">
      <c r="A25" s="166"/>
      <c r="B25" s="269" t="e">
        <f>Divident_all!#REF!</f>
        <v>#REF!</v>
      </c>
      <c r="C25" s="269" t="e">
        <f>Divident_all!#REF!</f>
        <v>#REF!</v>
      </c>
      <c r="D25" s="270" t="e">
        <f>Divident_all!#REF!</f>
        <v>#REF!</v>
      </c>
      <c r="E25" s="271">
        <f ca="1">IFERROR(__xludf.DUMMYFUNCTION("(((H25/GOOGLEFINANCE (""Currency:USDRON""))/D25)+F25)"),0.822471637341902)</f>
        <v>0.82247163734190198</v>
      </c>
      <c r="F25" s="269" t="e">
        <f>Divident_all!#REF!</f>
        <v>#REF!</v>
      </c>
      <c r="G25" s="270">
        <f ca="1">IFERROR(__xludf.DUMMYFUNCTION("H25/GOOGLEFINANCE (""Currency:USDRON"")"),3.33770944126743)</f>
        <v>3.33770944126743</v>
      </c>
      <c r="H25" s="272">
        <v>15</v>
      </c>
      <c r="I25" s="273" t="e">
        <f t="shared" si="8"/>
        <v>#REF!</v>
      </c>
      <c r="J25" s="270" t="e">
        <f t="shared" ca="1" si="5"/>
        <v>#REF!</v>
      </c>
      <c r="K25" s="319">
        <f ca="1">IFERROR(__xludf.DUMMYFUNCTION("(F25*C25)/100*GOOGLEFINANCE (""Currency:USDRON"")"),0.879606554033999)</f>
        <v>0.87960655403399901</v>
      </c>
      <c r="L25" s="275">
        <f ca="1">IFERROR(__xludf.DUMMYFUNCTION("(((H25/GOOGLEFINANCE (""Currency:USDRON""))/D25)*C25)/100*GOOGLEFINANCE (""Currency:USDRON"")"),0.0629422412374526)</f>
        <v>6.2942241237452595E-2</v>
      </c>
      <c r="M25" s="488">
        <f t="shared" ca="1" si="2"/>
        <v>7.1557267222249143E-2</v>
      </c>
      <c r="N25" s="277" t="e">
        <f>Divident_all!#REF!</f>
        <v>#REF!</v>
      </c>
      <c r="O25" s="277" t="e">
        <f>Divident_all!#REF!</f>
        <v>#REF!</v>
      </c>
      <c r="P25" s="278" t="e">
        <f>Divident_all!#REF!</f>
        <v>#REF!</v>
      </c>
      <c r="Q25" s="166"/>
      <c r="R25" s="279"/>
    </row>
    <row r="26" spans="1:33" ht="12.75">
      <c r="A26" s="166"/>
      <c r="B26" s="407" t="e">
        <f>Divident_all!#REF!</f>
        <v>#REF!</v>
      </c>
      <c r="C26" s="407" t="e">
        <f>Divident_all!#REF!</f>
        <v>#REF!</v>
      </c>
      <c r="D26" s="408" t="e">
        <f>Divident_all!#REF!</f>
        <v>#REF!</v>
      </c>
      <c r="E26" s="409">
        <f ca="1">IFERROR(__xludf.DUMMYFUNCTION("(((H26/GOOGLEFINANCE (""Currency:USDRON""))/D26)+F26)"),0.0320772323000452)</f>
        <v>3.2077232300045201E-2</v>
      </c>
      <c r="F26" s="407" t="e">
        <f>Divident_all!#REF!</f>
        <v>#REF!</v>
      </c>
      <c r="G26" s="408">
        <f ca="1">IFERROR(__xludf.DUMMYFUNCTION("H26/GOOGLEFINANCE (""Currency:USDRON"")"),3.33770944126743)</f>
        <v>3.33770944126743</v>
      </c>
      <c r="H26" s="410">
        <v>15</v>
      </c>
      <c r="I26" s="411" t="e">
        <f t="shared" si="8"/>
        <v>#REF!</v>
      </c>
      <c r="J26" s="408" t="e">
        <f t="shared" ca="1" si="5"/>
        <v>#REF!</v>
      </c>
      <c r="K26" s="412">
        <f ca="1">IFERROR(__xludf.DUMMYFUNCTION("(F26*C26)/100*GOOGLEFINANCE (""Currency:USDRON"")"),0.1292128981234)</f>
        <v>0.12921289812340001</v>
      </c>
      <c r="L26" s="413">
        <f ca="1">IFERROR(__xludf.DUMMYFUNCTION("(((H26/GOOGLEFINANCE (""Currency:USDRON""))/D26)*C26)/100*GOOGLEFINANCE (""Currency:USDRON"")"),0.0625176271505123)</f>
        <v>6.2517627150512303E-2</v>
      </c>
      <c r="M26" s="499">
        <f t="shared" ca="1" si="2"/>
        <v>0.48383426158282705</v>
      </c>
      <c r="N26" s="415" t="e">
        <f>Divident_all!#REF!</f>
        <v>#REF!</v>
      </c>
      <c r="O26" s="415" t="e">
        <f>Divident_all!#REF!</f>
        <v>#REF!</v>
      </c>
      <c r="P26" s="416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166"/>
      <c r="B27" s="355" t="e">
        <f>Divident_all!#REF!</f>
        <v>#REF!</v>
      </c>
      <c r="C27" s="355" t="e">
        <f>Divident_all!#REF!</f>
        <v>#REF!</v>
      </c>
      <c r="D27" s="356" t="e">
        <f>Divident_all!#REF!</f>
        <v>#REF!</v>
      </c>
      <c r="E27" s="357">
        <f ca="1">IFERROR(__xludf.DUMMYFUNCTION("(((H27/GOOGLEFINANCE (""Currency:USDRON""))/D27)+F27)"),0.0773038090870566)</f>
        <v>7.7303809087056599E-2</v>
      </c>
      <c r="F27" s="355" t="e">
        <f>Divident_all!#REF!</f>
        <v>#REF!</v>
      </c>
      <c r="G27" s="356">
        <f ca="1">IFERROR(__xludf.DUMMYFUNCTION("H27/GOOGLEFINANCE (""Currency:usdRON"")"),3.33770944126743)</f>
        <v>3.33770944126743</v>
      </c>
      <c r="H27" s="358">
        <v>15</v>
      </c>
      <c r="I27" s="359" t="e">
        <f t="shared" si="8"/>
        <v>#REF!</v>
      </c>
      <c r="J27" s="356" t="e">
        <f t="shared" ca="1" si="5"/>
        <v>#REF!</v>
      </c>
      <c r="K27" s="360">
        <f ca="1">IFERROR(__xludf.DUMMYFUNCTION("(F27*C27)/100*GOOGLEFINANCE (""Currency:usdRON"")"),0.197151565041599)</f>
        <v>0.197151565041599</v>
      </c>
      <c r="L27" s="361">
        <f ca="1">IFERROR(__xludf.DUMMYFUNCTION("(((H27/GOOGLEFINANCE (""Currency:usdRON""))/D27)*C27)/100*GOOGLEFINANCE (""Currency:usdRON"")"),0.0390879478827361)</f>
        <v>3.9087947882736097E-2</v>
      </c>
      <c r="M27" s="521">
        <f t="shared" ca="1" si="2"/>
        <v>0.19826344200964641</v>
      </c>
      <c r="N27" s="363" t="e">
        <f>Divident_all!#REF!</f>
        <v>#REF!</v>
      </c>
      <c r="O27" s="363" t="e">
        <f>Divident_all!#REF!</f>
        <v>#REF!</v>
      </c>
      <c r="P27" s="364" t="e">
        <f>Divident_all!#REF!</f>
        <v>#REF!</v>
      </c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  <row r="28" spans="1:33" ht="12.75">
      <c r="A28" s="166"/>
      <c r="B28" s="355" t="e">
        <f>Divident_all!#REF!</f>
        <v>#REF!</v>
      </c>
      <c r="C28" s="355" t="e">
        <f>Divident_all!#REF!</f>
        <v>#REF!</v>
      </c>
      <c r="D28" s="356" t="e">
        <f>Divident_all!#REF!</f>
        <v>#REF!</v>
      </c>
      <c r="E28" s="357">
        <f ca="1">IFERROR(__xludf.DUMMYFUNCTION("(((H28/GOOGLEFINANCE (""Currency:USDRON""))/D28)+F28)"),0.0723302293763539)</f>
        <v>7.2330229376353902E-2</v>
      </c>
      <c r="F28" s="355" t="e">
        <f>Divident_all!#REF!</f>
        <v>#REF!</v>
      </c>
      <c r="G28" s="356">
        <f ca="1">IFERROR(__xludf.DUMMYFUNCTION("H28/GOOGLEFINANCE (""Currency:USDRON"")"),3.33770944126743)</f>
        <v>3.33770944126743</v>
      </c>
      <c r="H28" s="358">
        <v>15</v>
      </c>
      <c r="I28" s="359" t="e">
        <f t="shared" si="8"/>
        <v>#REF!</v>
      </c>
      <c r="J28" s="356" t="e">
        <f t="shared" ca="1" si="5"/>
        <v>#REF!</v>
      </c>
      <c r="K28" s="360">
        <f ca="1">IFERROR(__xludf.DUMMYFUNCTION("(F28*C28)/100*GOOGLEFINANCE (""Currency:USDRON"")"),0.0538811221182)</f>
        <v>5.3881122118200002E-2</v>
      </c>
      <c r="L28" s="361">
        <f ca="1">IFERROR(__xludf.DUMMYFUNCTION("(((H28/GOOGLEFINANCE (""Currency:USDRON""))/D28)*C28)/100*GOOGLEFINANCE (""Currency:USDRON"")"),0.0208825131650626)</f>
        <v>2.0882513165062601E-2</v>
      </c>
      <c r="M28" s="521">
        <f t="shared" ca="1" si="2"/>
        <v>0.38756641183626894</v>
      </c>
      <c r="N28" s="363" t="e">
        <f>Divident_all!#REF!</f>
        <v>#REF!</v>
      </c>
      <c r="O28" s="363" t="e">
        <f>Divident_all!#REF!</f>
        <v>#REF!</v>
      </c>
      <c r="P28" s="364" t="e">
        <f>Divident_all!#REF!</f>
        <v>#REF!</v>
      </c>
      <c r="Q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55</v>
      </c>
      <c r="L2" s="264">
        <f ca="1">((L4*4)*100)/(500+K2)</f>
        <v>5.2053980440493355</v>
      </c>
      <c r="M2" s="12">
        <v>15</v>
      </c>
      <c r="N2" s="12"/>
      <c r="O2" s="12"/>
      <c r="P2" s="12"/>
    </row>
    <row r="3" spans="1:33" ht="15.75" customHeight="1">
      <c r="A3" s="265" t="s">
        <v>32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AVERAGE(C5:C28)</f>
        <v>#REF!</v>
      </c>
      <c r="D4" s="118" t="e">
        <f t="shared" ca="1" si="0"/>
        <v>#REF!</v>
      </c>
      <c r="E4" s="267">
        <f t="shared" ca="1" si="0"/>
        <v>0.47883462729835041</v>
      </c>
      <c r="F4" s="116"/>
      <c r="G4" s="247">
        <f ca="1">SUM(G5:G28)</f>
        <v>136.84608709196485</v>
      </c>
      <c r="H4" s="116">
        <f>500+K2+M2-SUM(H5:H25)</f>
        <v>0</v>
      </c>
      <c r="I4" s="118"/>
      <c r="J4" s="118" t="e">
        <f t="shared" ref="J4:L4" ca="1" si="1">SUM(J5:J28)</f>
        <v>#REF!</v>
      </c>
      <c r="K4" s="123">
        <f t="shared" ca="1" si="1"/>
        <v>24.735876248365535</v>
      </c>
      <c r="L4" s="123">
        <f t="shared" ca="1" si="1"/>
        <v>7.2224897861184534</v>
      </c>
      <c r="M4" s="117">
        <f t="shared" ref="M4:M28" ca="1" si="2">L4/K4</f>
        <v>0.29198439196572595</v>
      </c>
      <c r="N4" s="125"/>
      <c r="O4" s="125"/>
      <c r="P4" s="126"/>
    </row>
    <row r="5" spans="1:33" ht="12.75">
      <c r="A5" s="166"/>
      <c r="B5" s="280" t="str">
        <f>Divident_all!B3</f>
        <v>AMD</v>
      </c>
      <c r="C5" s="280">
        <f>Divident_all!D3</f>
        <v>62.5</v>
      </c>
      <c r="D5" s="281">
        <f ca="1">Divident_all!E3</f>
        <v>20.89</v>
      </c>
      <c r="E5" s="282">
        <f ca="1">IFERROR(__xludf.DUMMYFUNCTION("(((H5/GOOGLEFINANCE (""Currency:USDRON""))/D5)+F5)"),1.38098641581094)</f>
        <v>1.3809864158109399</v>
      </c>
      <c r="F5" s="280">
        <f>Divident_all!I3</f>
        <v>1.0081769999999999</v>
      </c>
      <c r="G5" s="281">
        <f ca="1">IFERROR(__xludf.DUMMYFUNCTION("H5/GOOGLEFINANCE (""Currency:USDRON"")"),7.78798869629069)</f>
        <v>7.7879886962906903</v>
      </c>
      <c r="H5" s="283">
        <v>35</v>
      </c>
      <c r="I5" s="284">
        <f t="shared" ref="I5:I12" ca="1" si="3">D5/C5</f>
        <v>0.33423999999999998</v>
      </c>
      <c r="J5" s="281">
        <f t="shared" ref="J5:J28" ca="1" si="4">((E5*C5)/100)</f>
        <v>0.86311650988183741</v>
      </c>
      <c r="K5" s="285">
        <f ca="1">IFERROR(__xludf.DUMMYFUNCTION("(F5*C5)/100*GOOGLEFINANCE (""Currency:USDRON"")"),2.83178015981249)</f>
        <v>2.8317801598124901</v>
      </c>
      <c r="L5" s="286">
        <f ca="1">IFERROR(__xludf.DUMMYFUNCTION("(((H5/GOOGLEFINANCE (""Currency:USDRON""))/D5)*C5)/100*GOOGLEFINANCE (""Currency:USDRON"")"),1.04715174724748)</f>
        <v>1.0471517472474801</v>
      </c>
      <c r="M5" s="287">
        <f t="shared" ca="1" si="2"/>
        <v>0.36978567831932918</v>
      </c>
      <c r="N5" s="288" t="str">
        <f>Divident_all!M3</f>
        <v>Consumer Cyclical</v>
      </c>
      <c r="O5" s="288" t="str">
        <f>Divident_all!N3</f>
        <v>Auto &amp; Truck Dealerships</v>
      </c>
      <c r="P5" s="289">
        <f>Divident_all!O3</f>
        <v>12584</v>
      </c>
      <c r="R5" s="279"/>
    </row>
    <row r="6" spans="1:33" ht="12.75">
      <c r="A6" s="166"/>
      <c r="B6" s="290" t="e">
        <f>Divident_all!#REF!</f>
        <v>#REF!</v>
      </c>
      <c r="C6" s="290" t="e">
        <f>Divident_all!#REF!</f>
        <v>#REF!</v>
      </c>
      <c r="D6" s="291" t="e">
        <f>Divident_all!#REF!</f>
        <v>#REF!</v>
      </c>
      <c r="E6" s="292">
        <f ca="1">IFERROR(__xludf.DUMMYFUNCTION("(((H6/GOOGLEFINANCE (""Currency:USDRON""))/D6)+F6)"),0.719058114729973)</f>
        <v>0.71905811472997305</v>
      </c>
      <c r="F6" s="290" t="e">
        <f>Divident_all!#REF!</f>
        <v>#REF!</v>
      </c>
      <c r="G6" s="291">
        <f ca="1">IFERROR(__xludf.DUMMYFUNCTION("H6/GOOGLEFINANCE (""Currency:USDRON"")"),7.78798869629069)</f>
        <v>7.7879886962906903</v>
      </c>
      <c r="H6" s="293">
        <v>35</v>
      </c>
      <c r="I6" s="294" t="e">
        <f t="shared" si="3"/>
        <v>#REF!</v>
      </c>
      <c r="J6" s="291" t="e">
        <f t="shared" ca="1" si="4"/>
        <v>#REF!</v>
      </c>
      <c r="K6" s="295">
        <f ca="1">IFERROR(__xludf.DUMMYFUNCTION("(F6*C6)/100*GOOGLEFINANCE (""Currency:USDRON"")"),2.30700390057799)</f>
        <v>2.3070039005779899</v>
      </c>
      <c r="L6" s="296">
        <f ca="1">IFERROR(__xludf.DUMMYFUNCTION("(((H6/GOOGLEFINANCE (""Currency:USDRON""))/D6)*C6)/100*GOOGLEFINANCE (""Currency:USDRON"")"),0.730624028425493)</f>
        <v>0.73062402842549301</v>
      </c>
      <c r="M6" s="297">
        <f t="shared" ca="1" si="2"/>
        <v>0.31669821981767982</v>
      </c>
      <c r="N6" s="298" t="e">
        <f>Divident_all!#REF!</f>
        <v>#REF!</v>
      </c>
      <c r="O6" s="298" t="e">
        <f>Divident_all!#REF!</f>
        <v>#REF!</v>
      </c>
      <c r="P6" s="299" t="e">
        <f>Divident_all!#REF!</f>
        <v>#REF!</v>
      </c>
      <c r="Q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166"/>
      <c r="B7" s="290" t="e">
        <f>Divident_all!#REF!</f>
        <v>#REF!</v>
      </c>
      <c r="C7" s="290" t="e">
        <f>Divident_all!#REF!</f>
        <v>#REF!</v>
      </c>
      <c r="D7" s="291" t="e">
        <f>Divident_all!#REF!</f>
        <v>#REF!</v>
      </c>
      <c r="E7" s="292">
        <f ca="1">IFERROR(__xludf.DUMMYFUNCTION("(((H7/GOOGLEFINANCE (""Currency:USDRON""))/D7)+F7)"),0.726154551755916)</f>
        <v>0.72615455175591603</v>
      </c>
      <c r="F7" s="290" t="e">
        <f>Divident_all!#REF!</f>
        <v>#REF!</v>
      </c>
      <c r="G7" s="291">
        <f ca="1">IFERROR(__xludf.DUMMYFUNCTION("H7/GOOGLEFINANCE (""Currency:USDRON"")"),7.78798869629069)</f>
        <v>7.7879886962906903</v>
      </c>
      <c r="H7" s="293">
        <v>35</v>
      </c>
      <c r="I7" s="294" t="e">
        <f t="shared" si="3"/>
        <v>#REF!</v>
      </c>
      <c r="J7" s="291" t="e">
        <f t="shared" ca="1" si="4"/>
        <v>#REF!</v>
      </c>
      <c r="K7" s="295">
        <f ca="1">IFERROR(__xludf.DUMMYFUNCTION("(F7*C7)/100*GOOGLEFINANCE (""Currency:USDRON"")"),1.60178016513319)</f>
        <v>1.60178016513319</v>
      </c>
      <c r="L7" s="296">
        <f ca="1">IFERROR(__xludf.DUMMYFUNCTION("(((H7/GOOGLEFINANCE (""Currency:USDRON""))/D7)*C7)/100*GOOGLEFINANCE (""Currency:USDRON"")"),0.702188121625461)</f>
        <v>0.70218812162546096</v>
      </c>
      <c r="M7" s="297">
        <f t="shared" ca="1" si="2"/>
        <v>0.43837983320705759</v>
      </c>
      <c r="N7" s="298" t="e">
        <f>Divident_all!#REF!</f>
        <v>#REF!</v>
      </c>
      <c r="O7" s="298" t="e">
        <f>Divident_all!#REF!</f>
        <v>#REF!</v>
      </c>
      <c r="P7" s="299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320" t="e">
        <f>Divident_all!#REF!</f>
        <v>#REF!</v>
      </c>
      <c r="C8" s="320" t="e">
        <f>Divident_all!#REF!</f>
        <v>#REF!</v>
      </c>
      <c r="D8" s="321" t="e">
        <f>Divident_all!#REF!</f>
        <v>#REF!</v>
      </c>
      <c r="E8" s="322">
        <f ca="1">IFERROR(__xludf.DUMMYFUNCTION("(((H8/GOOGLEFINANCE (""Currency:USDRON""))/D8)+F8)"),1.88284733997865)</f>
        <v>1.8828473399786501</v>
      </c>
      <c r="F8" s="320" t="e">
        <f>Divident_all!#REF!</f>
        <v>#REF!</v>
      </c>
      <c r="G8" s="321">
        <f ca="1">IFERROR(__xludf.DUMMYFUNCTION("H8/GOOGLEFINANCE (""Currency:USDRON"")"),6.67541888253487)</f>
        <v>6.6754188825348697</v>
      </c>
      <c r="H8" s="293">
        <v>30</v>
      </c>
      <c r="I8" s="323" t="e">
        <f t="shared" si="3"/>
        <v>#REF!</v>
      </c>
      <c r="J8" s="321" t="e">
        <f t="shared" ca="1" si="4"/>
        <v>#REF!</v>
      </c>
      <c r="K8" s="324">
        <f ca="1">IFERROR(__xludf.DUMMYFUNCTION("(F8*C8)/100*GOOGLEFINANCE (""Currency:USDRON"")"),1.39063641748199)</f>
        <v>1.3906364174819901</v>
      </c>
      <c r="L8" s="325">
        <f ca="1">IFERROR(__xludf.DUMMYFUNCTION("(((H8/GOOGLEFINANCE (""Currency:USDRON""))/D8)*C8)/100*GOOGLEFINANCE (""Currency:USDRON"")"),0.555555555555555)</f>
        <v>0.55555555555555503</v>
      </c>
      <c r="M8" s="524">
        <f t="shared" ca="1" si="2"/>
        <v>0.39949734421704081</v>
      </c>
      <c r="N8" s="326" t="e">
        <f>Divident_all!#REF!</f>
        <v>#REF!</v>
      </c>
      <c r="O8" s="326" t="e">
        <f>Divident_all!#REF!</f>
        <v>#REF!</v>
      </c>
      <c r="P8" s="327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00" t="e">
        <f>Divident_all!#REF!</f>
        <v>#REF!</v>
      </c>
      <c r="C9" s="300" t="e">
        <f>Divident_all!#REF!+Divident_special!C20</f>
        <v>#REF!</v>
      </c>
      <c r="D9" s="301" t="e">
        <f>Divident_all!#REF!</f>
        <v>#REF!</v>
      </c>
      <c r="E9" s="302">
        <f ca="1">IFERROR(__xludf.DUMMYFUNCTION("(((H9/GOOGLEFINANCE (""Currency:USDRON""))/D9)+F9)"),0.565301940440482)</f>
        <v>0.56530194044048199</v>
      </c>
      <c r="F9" s="300" t="e">
        <f>Divident_all!#REF!</f>
        <v>#REF!</v>
      </c>
      <c r="G9" s="301">
        <f ca="1">IFERROR(__xludf.DUMMYFUNCTION("H9/GOOGLEFINANCE (""Currency:USDRON"")"),6.67541888253487)</f>
        <v>6.6754188825348697</v>
      </c>
      <c r="H9" s="303">
        <v>30</v>
      </c>
      <c r="I9" s="304" t="e">
        <f t="shared" si="3"/>
        <v>#REF!</v>
      </c>
      <c r="J9" s="301" t="e">
        <f t="shared" ca="1" si="4"/>
        <v>#REF!</v>
      </c>
      <c r="K9" s="305">
        <f ca="1">IFERROR(__xludf.DUMMYFUNCTION("(F9*C9)/100*GOOGLEFINANCE (""Currency:USDRON"")"),1.78171219054399)</f>
        <v>1.7817121905439901</v>
      </c>
      <c r="L9" s="306">
        <f ca="1">IFERROR(__xludf.DUMMYFUNCTION("(((H9/GOOGLEFINANCE (""Currency:USDRON""))/D9)*C9)/100*GOOGLEFINANCE (""Currency:USDRON"")"),0.479353680430879)</f>
        <v>0.479353680430879</v>
      </c>
      <c r="M9" s="307">
        <f t="shared" ca="1" si="2"/>
        <v>0.26904102860997059</v>
      </c>
      <c r="N9" s="308" t="e">
        <f>Divident_all!#REF!</f>
        <v>#REF!</v>
      </c>
      <c r="O9" s="308" t="e">
        <f>Divident_all!#REF!</f>
        <v>#REF!</v>
      </c>
      <c r="P9" s="309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310" t="e">
        <f>Divident_all!#REF!</f>
        <v>#REF!</v>
      </c>
      <c r="C10" s="310" t="e">
        <f>Divident_all!#REF!</f>
        <v>#REF!</v>
      </c>
      <c r="D10" s="311" t="e">
        <f>Divident_all!#REF!</f>
        <v>#REF!</v>
      </c>
      <c r="E10" s="312">
        <f ca="1">IFERROR(__xludf.DUMMYFUNCTION("(((H10/GOOGLEFINANCE (""Currency:USDRON""))/D10)+F10)"),0.246406480425203)</f>
        <v>0.24640648042520299</v>
      </c>
      <c r="F10" s="310" t="e">
        <f>Divident_all!#REF!</f>
        <v>#REF!</v>
      </c>
      <c r="G10" s="311">
        <f ca="1">IFERROR(__xludf.DUMMYFUNCTION("H10/GOOGLEFINANCE (""Currency:usdRON"")"),6.67541888253487)</f>
        <v>6.6754188825348697</v>
      </c>
      <c r="H10" s="313">
        <v>30</v>
      </c>
      <c r="I10" s="314" t="e">
        <f t="shared" si="3"/>
        <v>#REF!</v>
      </c>
      <c r="J10" s="311" t="e">
        <f t="shared" ca="1" si="4"/>
        <v>#REF!</v>
      </c>
      <c r="K10" s="315">
        <f ca="1">IFERROR(__xludf.DUMMYFUNCTION("(F10*C10)/100*GOOGLEFINANCE (""Currency:usdRON"")"),1.491230284596)</f>
        <v>1.4912302845959999</v>
      </c>
      <c r="L10" s="316">
        <f ca="1">IFERROR(__xludf.DUMMYFUNCTION("(((H10/GOOGLEFINANCE (""Currency:usdRON""))/D10)*C10)/100*GOOGLEFINANCE (""Currency:usdRON"")"),0.502045370026032)</f>
        <v>0.502045370026032</v>
      </c>
      <c r="M10" s="276">
        <f t="shared" ca="1" si="2"/>
        <v>0.3366652187874824</v>
      </c>
      <c r="N10" s="317" t="e">
        <f>Divident_all!#REF!</f>
        <v>#REF!</v>
      </c>
      <c r="O10" s="317" t="e">
        <f>Divident_all!#REF!</f>
        <v>#REF!</v>
      </c>
      <c r="P10" s="318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(""Currency:USDRON""))/D11)+F11)"),0.436969674189476)</f>
        <v>0.43696967418947602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 t="shared" si="3"/>
        <v>#REF!</v>
      </c>
      <c r="J11" s="270" t="e">
        <f t="shared" ca="1" si="4"/>
        <v>#REF!</v>
      </c>
      <c r="K11" s="319">
        <f ca="1">IFERROR(__xludf.DUMMYFUNCTION("(F11*C11)/100*GOOGLEFINANCE (""Currency:USDRON"")"),0.989146736135999)</f>
        <v>0.98914673613599902</v>
      </c>
      <c r="L11" s="275">
        <f ca="1">IFERROR(__xludf.DUMMYFUNCTION("(((H11/GOOGLEFINANCE (""Currency:USDRON""))/D11)*C11)/100*GOOGLEFINANCE (""Currency:USDRON"")"),0.424778761061946)</f>
        <v>0.42477876106194601</v>
      </c>
      <c r="M11" s="276">
        <f t="shared" ca="1" si="2"/>
        <v>0.42943958216078332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320" t="e">
        <f>Divident_all!#REF!</f>
        <v>#REF!</v>
      </c>
      <c r="C12" s="320" t="e">
        <f>Divident_all!#REF!</f>
        <v>#REF!</v>
      </c>
      <c r="D12" s="321" t="e">
        <f>Divident_all!#REF!</f>
        <v>#REF!</v>
      </c>
      <c r="E12" s="322">
        <f ca="1">IFERROR(__xludf.DUMMYFUNCTION("(((H12/GOOGLEFINANCE (""Currency:USDRON""))/D12)+F12)"),0.249790125075742)</f>
        <v>0.249790125075742</v>
      </c>
      <c r="F12" s="320" t="e">
        <f>Divident_all!#REF!</f>
        <v>#REF!</v>
      </c>
      <c r="G12" s="321">
        <f ca="1">IFERROR(__xludf.DUMMYFUNCTION("H12/GOOGLEFINANCE (""Currency:USDRON"")"),6.67541888253487)</f>
        <v>6.6754188825348697</v>
      </c>
      <c r="H12" s="293">
        <v>30</v>
      </c>
      <c r="I12" s="323" t="e">
        <f t="shared" si="3"/>
        <v>#REF!</v>
      </c>
      <c r="J12" s="321" t="e">
        <f t="shared" ca="1" si="4"/>
        <v>#REF!</v>
      </c>
      <c r="K12" s="324">
        <f ca="1">IFERROR(__xludf.DUMMYFUNCTION("(E12*C12)/100*GOOGLEFINANCE (""Currency:usdRON"")"),1.42567888740067)</f>
        <v>1.4256788874006701</v>
      </c>
      <c r="L12" s="325">
        <f ca="1">IFERROR(__xludf.DUMMYFUNCTION("(((H12/GOOGLEFINANCE (""Currency:usdRON""))/D12)*C12)/100*GOOGLEFINANCE (""Currency:usdRON"")"),0.382991556091676)</f>
        <v>0.38299155609167601</v>
      </c>
      <c r="M12" s="297">
        <f t="shared" ca="1" si="2"/>
        <v>0.2686380218409174</v>
      </c>
      <c r="N12" s="326" t="e">
        <f>Divident_all!#REF!</f>
        <v>#REF!</v>
      </c>
      <c r="O12" s="326" t="e">
        <f>Divident_all!#REF!</f>
        <v>#REF!</v>
      </c>
      <c r="P12" s="327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269" t="e">
        <f>Divident_all!#REF!</f>
        <v>#REF!</v>
      </c>
      <c r="C13" s="269" t="e">
        <f>Divident_all!#REF!</f>
        <v>#REF!</v>
      </c>
      <c r="D13" s="270" t="e">
        <f>Divident_all!#REF!</f>
        <v>#REF!</v>
      </c>
      <c r="E13" s="271">
        <f ca="1">IFERROR(__xludf.DUMMYFUNCTION("(((H13/GOOGLEFINANCE (""Currency:USDRON""))/D13)+F13)"),0.877395274683805)</f>
        <v>0.87739527468380496</v>
      </c>
      <c r="F13" s="269" t="e">
        <f>Divident_all!#REF!</f>
        <v>#REF!</v>
      </c>
      <c r="G13" s="270">
        <f ca="1">IFERROR(__xludf.DUMMYFUNCTION("H13/GOOGLEFINANCE (""Currency:USDRON"")"),6.67541888253487)</f>
        <v>6.6754188825348697</v>
      </c>
      <c r="H13" s="272">
        <v>30</v>
      </c>
      <c r="I13" s="273" t="e">
        <f>D13/(C13*3)</f>
        <v>#REF!</v>
      </c>
      <c r="J13" s="270" t="e">
        <f t="shared" ca="1" si="4"/>
        <v>#REF!</v>
      </c>
      <c r="K13" s="319">
        <f ca="1">IFERROR(__xludf.DUMMYFUNCTION("(F13*C13)/100*GOOGLEFINANCE (""Currency:USDRON"")"),0.879606554033999)</f>
        <v>0.87960655403399901</v>
      </c>
      <c r="L13" s="275">
        <f ca="1">IFERROR(__xludf.DUMMYFUNCTION("(((H13/GOOGLEFINANCE (""Currency:USDRON""))/D13)*C13)/100*GOOGLEFINANCE (""Currency:USDRON"")"),0.125884482474905)</f>
        <v>0.125884482474905</v>
      </c>
      <c r="M13" s="276">
        <f t="shared" ca="1" si="2"/>
        <v>0.14311453444449806</v>
      </c>
      <c r="N13" s="277" t="e">
        <f>Divident_all!#REF!</f>
        <v>#REF!</v>
      </c>
      <c r="O13" s="277" t="e">
        <f>Divident_all!#REF!</f>
        <v>#REF!</v>
      </c>
      <c r="P13" s="27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28" t="e">
        <f>Divident_all!#REF!</f>
        <v>#REF!</v>
      </c>
      <c r="C14" s="328" t="e">
        <f>Divident_all!#REF!</f>
        <v>#REF!</v>
      </c>
      <c r="D14" s="329" t="e">
        <f>Divident_all!#REF!</f>
        <v>#REF!</v>
      </c>
      <c r="E14" s="330">
        <f ca="1">IFERROR(__xludf.DUMMYFUNCTION("(((H14/GOOGLEFINANCE (""Currency:USDRON""))/D14)+F14)"),0.324227588377636)</f>
        <v>0.32422758837763599</v>
      </c>
      <c r="F14" s="328" t="e">
        <f>Divident_all!#REF!</f>
        <v>#REF!</v>
      </c>
      <c r="G14" s="329">
        <f ca="1">IFERROR(__xludf.DUMMYFUNCTION("H14/GOOGLEFINANCE (""Currency:USDRON"")"),6.67541888253487)</f>
        <v>6.6754188825348697</v>
      </c>
      <c r="H14" s="331">
        <v>30</v>
      </c>
      <c r="I14" s="332" t="e">
        <f t="shared" ref="I14:I28" si="5">D14/C14</f>
        <v>#REF!</v>
      </c>
      <c r="J14" s="329" t="e">
        <f t="shared" ca="1" si="4"/>
        <v>#REF!</v>
      </c>
      <c r="K14" s="333">
        <f ca="1">IFERROR(__xludf.DUMMYFUNCTION("(F14*C14)/100*GOOGLEFINANCE (""Currency:USDRON"")"),1.4545539255078)</f>
        <v>1.4545539255077999</v>
      </c>
      <c r="L14" s="334">
        <f ca="1">IFERROR(__xludf.DUMMYFUNCTION("(((H14/GOOGLEFINANCE (""Currency:USDRON""))/D14)*C14)/100*GOOGLEFINANCE (""Currency:USDRON"")"),0.323121744504281)</f>
        <v>0.32312174450428099</v>
      </c>
      <c r="M14" s="335">
        <f t="shared" ca="1" si="2"/>
        <v>0.22214490562216579</v>
      </c>
      <c r="N14" s="336" t="e">
        <f>Divident_all!#REF!</f>
        <v>#REF!</v>
      </c>
      <c r="O14" s="336" t="e">
        <f>Divident_all!#REF!</f>
        <v>#REF!</v>
      </c>
      <c r="P14" s="337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290" t="e">
        <f>Divident_all!#REF!</f>
        <v>#REF!</v>
      </c>
      <c r="C15" s="290" t="e">
        <f>Divident_all!#REF!</f>
        <v>#REF!</v>
      </c>
      <c r="D15" s="291" t="e">
        <f>Divident_all!#REF!</f>
        <v>#REF!</v>
      </c>
      <c r="E15" s="292">
        <f ca="1">IFERROR(__xludf.DUMMYFUNCTION("(((H15/GOOGLEFINANCE (""Currency:USDRON""))/D15)+F15)"),0.114220265723287)</f>
        <v>0.114220265723287</v>
      </c>
      <c r="F15" s="290" t="e">
        <f>Divident_all!#REF!</f>
        <v>#REF!</v>
      </c>
      <c r="G15" s="291">
        <f ca="1">IFERROR(__xludf.DUMMYFUNCTION("H15/GOOGLEFINANCE (""Currency:usdRON"")"),5.56284906877906)</f>
        <v>5.5628490687790597</v>
      </c>
      <c r="H15" s="293">
        <v>25</v>
      </c>
      <c r="I15" s="294" t="e">
        <f t="shared" si="5"/>
        <v>#REF!</v>
      </c>
      <c r="J15" s="291" t="e">
        <f t="shared" ca="1" si="4"/>
        <v>#REF!</v>
      </c>
      <c r="K15" s="295">
        <f ca="1">IFERROR(__xludf.DUMMYFUNCTION("(F15*C15)/100*GOOGLEFINANCE (""Currency:usdRON"")"),0.3909033703978)</f>
        <v>0.39090337039779999</v>
      </c>
      <c r="L15" s="296">
        <f ca="1">IFERROR(__xludf.DUMMYFUNCTION("(((H15/GOOGLEFINANCE (""Currency:usdRON""))/D15)*C15)/100*GOOGLEFINANCE (""Currency:usdRON"")"),0.21481103910289)</f>
        <v>0.21481103910289001</v>
      </c>
      <c r="M15" s="297">
        <f t="shared" ca="1" si="2"/>
        <v>0.54952465332874745</v>
      </c>
      <c r="N15" s="298" t="e">
        <f>Divident_all!#REF!</f>
        <v>#REF!</v>
      </c>
      <c r="O15" s="298" t="e">
        <f>Divident_all!#REF!</f>
        <v>#REF!</v>
      </c>
      <c r="P15" s="299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346" t="e">
        <f>Divident_all!#REF!</f>
        <v>#REF!</v>
      </c>
      <c r="C16" s="346" t="e">
        <f>Divident_all!#REF!</f>
        <v>#REF!</v>
      </c>
      <c r="D16" s="347" t="e">
        <f>Divident_all!#REF!</f>
        <v>#REF!</v>
      </c>
      <c r="E16" s="348">
        <f ca="1">IFERROR(__xludf.DUMMYFUNCTION("(((H16/GOOGLEFINANCE (""Currency:USDRON""))/D16)+F16)"),0.0289121897275751)</f>
        <v>2.8912189727575099E-2</v>
      </c>
      <c r="F16" s="346" t="e">
        <f>Divident_all!#REF!</f>
        <v>#REF!</v>
      </c>
      <c r="G16" s="347">
        <f ca="1">IFERROR(__xludf.DUMMYFUNCTION("H16/GOOGLEFINANCE (""Currency:USDRON"")"),5.56284906877906)</f>
        <v>5.5628490687790597</v>
      </c>
      <c r="H16" s="283">
        <v>25</v>
      </c>
      <c r="I16" s="349" t="e">
        <f t="shared" si="5"/>
        <v>#REF!</v>
      </c>
      <c r="J16" s="347" t="e">
        <f t="shared" ca="1" si="4"/>
        <v>#REF!</v>
      </c>
      <c r="K16" s="350">
        <f ca="1">IFERROR(__xludf.DUMMYFUNCTION("(F16*C16)/100*GOOGLEFINANCE (""Currency:USDRON"")"),0.71352735818)</f>
        <v>0.71352735818000002</v>
      </c>
      <c r="L16" s="351">
        <f ca="1">IFERROR(__xludf.DUMMYFUNCTION("(((H16/GOOGLEFINANCE (""Currency:USDRON""))/D16)*C16)/100*GOOGLEFINANCE (""Currency:USDRON"")"),0.196012544802867)</f>
        <v>0.19601254480286701</v>
      </c>
      <c r="M16" s="352">
        <f t="shared" ca="1" si="2"/>
        <v>0.27470922110518337</v>
      </c>
      <c r="N16" s="353" t="e">
        <f>Divident_all!#REF!</f>
        <v>#REF!</v>
      </c>
      <c r="O16" s="353" t="e">
        <f>Divident_all!#REF!</f>
        <v>#REF!</v>
      </c>
      <c r="P16" s="354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310" t="e">
        <f>Divident_all!#REF!</f>
        <v>#REF!</v>
      </c>
      <c r="C17" s="310" t="e">
        <f>Divident_all!#REF!</f>
        <v>#REF!</v>
      </c>
      <c r="D17" s="311" t="e">
        <f>Divident_all!#REF!</f>
        <v>#REF!</v>
      </c>
      <c r="E17" s="312">
        <f ca="1">IFERROR(__xludf.DUMMYFUNCTION("(((H17/GOOGLEFINANCE (""Currency:USDRON""))/D17)+F17)"),0.0734009552843494)</f>
        <v>7.3400955284349395E-2</v>
      </c>
      <c r="F17" s="310" t="e">
        <f>Divident_all!#REF!</f>
        <v>#REF!</v>
      </c>
      <c r="G17" s="311">
        <f ca="1">IFERROR(__xludf.DUMMYFUNCTION("H17/GOOGLEFINANCE (""Currency:usdRON"")"),5.56284906877906)</f>
        <v>5.5628490687790597</v>
      </c>
      <c r="H17" s="313">
        <v>25</v>
      </c>
      <c r="I17" s="314" t="e">
        <f t="shared" si="5"/>
        <v>#REF!</v>
      </c>
      <c r="J17" s="311" t="e">
        <f t="shared" ca="1" si="4"/>
        <v>#REF!</v>
      </c>
      <c r="K17" s="315">
        <f ca="1">IFERROR(__xludf.DUMMYFUNCTION("(F17*C17)/100*GOOGLEFINANCE (""Currency:usdRON"")"),0.326093154347999)</f>
        <v>0.32609315434799901</v>
      </c>
      <c r="L17" s="316">
        <f ca="1">IFERROR(__xludf.DUMMYFUNCTION("(((H17/GOOGLEFINANCE (""Currency:usdRON""))/D17)*C17)/100*GOOGLEFINANCE (""Currency:usdRON"")"),0.188505969355696)</f>
        <v>0.188505969355696</v>
      </c>
      <c r="M17" s="276">
        <f t="shared" ca="1" si="2"/>
        <v>0.57807398543094479</v>
      </c>
      <c r="N17" s="317" t="e">
        <f>Divident_all!#REF!</f>
        <v>#REF!</v>
      </c>
      <c r="O17" s="317" t="e">
        <f>Divident_all!#REF!</f>
        <v>#REF!</v>
      </c>
      <c r="P17" s="318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269" t="e">
        <f>Divident_all!#REF!</f>
        <v>#REF!</v>
      </c>
      <c r="C18" s="269" t="e">
        <f>Divident_all!#REF!</f>
        <v>#REF!</v>
      </c>
      <c r="D18" s="270" t="e">
        <f>Divident_all!#REF!</f>
        <v>#REF!</v>
      </c>
      <c r="E18" s="271">
        <f ca="1">IFERROR(__xludf.DUMMYFUNCTION("(((H18/GOOGLEFINANCE (""Currency:USDRON""))/D18)+F18)"),1.95746323483297)</f>
        <v>1.9574632348329699</v>
      </c>
      <c r="F18" s="269" t="e">
        <f>Divident_all!#REF!</f>
        <v>#REF!</v>
      </c>
      <c r="G18" s="270">
        <f ca="1">IFERROR(__xludf.DUMMYFUNCTION("H18/GOOGLEFINANCE (""Currency:USDRON"")"),5.56284906877906)</f>
        <v>5.5628490687790597</v>
      </c>
      <c r="H18" s="272">
        <v>25</v>
      </c>
      <c r="I18" s="273" t="e">
        <f t="shared" si="5"/>
        <v>#REF!</v>
      </c>
      <c r="J18" s="270" t="e">
        <f t="shared" ca="1" si="4"/>
        <v>#REF!</v>
      </c>
      <c r="K18" s="274">
        <f ca="1">IFERROR(__xludf.DUMMYFUNCTION("(F18*C18)/100*GOOGLEFINANCE (""Currency:USDRON"")"),2.2457488456975)</f>
        <v>2.2457488456974999</v>
      </c>
      <c r="L18" s="275">
        <f ca="1">IFERROR(__xludf.DUMMYFUNCTION("(((H18/GOOGLEFINANCE (""Currency:USDRON""))/D18)*C18)/100*GOOGLEFINANCE (""Currency:USDRON"")"),0.173435923309788)</f>
        <v>0.17343592330978799</v>
      </c>
      <c r="M18" s="276">
        <f t="shared" ca="1" si="2"/>
        <v>7.7228548349056861E-2</v>
      </c>
      <c r="N18" s="277" t="e">
        <f>Divident_all!#REF!</f>
        <v>#REF!</v>
      </c>
      <c r="O18" s="277" t="e">
        <f>Divident_all!#REF!</f>
        <v>#REF!</v>
      </c>
      <c r="P18" s="278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290" t="e">
        <f>Divident_all!#REF!</f>
        <v>#REF!</v>
      </c>
      <c r="C19" s="290" t="e">
        <f>Divident_all!#REF!</f>
        <v>#REF!</v>
      </c>
      <c r="D19" s="291" t="e">
        <f>Divident_all!#REF!</f>
        <v>#REF!</v>
      </c>
      <c r="E19" s="292">
        <f ca="1">IFERROR(__xludf.DUMMYFUNCTION("(((H19/GOOGLEFINANCE (""Currency:USDRON""))/D19)+F19)"),0.435119168418383)</f>
        <v>0.435119168418383</v>
      </c>
      <c r="F19" s="290" t="e">
        <f>Divident_all!#REF!</f>
        <v>#REF!</v>
      </c>
      <c r="G19" s="291">
        <f ca="1">IFERROR(__xludf.DUMMYFUNCTION("H19/GOOGLEFINANCE (""Currency:USDRON"")"),5.56284906877906)</f>
        <v>5.5628490687790597</v>
      </c>
      <c r="H19" s="293">
        <v>25</v>
      </c>
      <c r="I19" s="294" t="e">
        <f t="shared" si="5"/>
        <v>#REF!</v>
      </c>
      <c r="J19" s="291" t="e">
        <f t="shared" ca="1" si="4"/>
        <v>#REF!</v>
      </c>
      <c r="K19" s="295">
        <f ca="1">IFERROR(__xludf.DUMMYFUNCTION("(F19*C19)/100*GOOGLEFINANCE (""Currency:USDRON"")"),0.717120840539999)</f>
        <v>0.71712084053999903</v>
      </c>
      <c r="L19" s="296">
        <f ca="1">IFERROR(__xludf.DUMMYFUNCTION("(((H19/GOOGLEFINANCE (""Currency:USDRON""))/D19)*C19)/100*GOOGLEFINANCE (""Currency:USDRON"")"),0.182394924662965)</f>
        <v>0.182394924662965</v>
      </c>
      <c r="M19" s="297">
        <f t="shared" ca="1" si="2"/>
        <v>0.25434336077253011</v>
      </c>
      <c r="N19" s="298" t="e">
        <f>Divident_all!#REF!</f>
        <v>#REF!</v>
      </c>
      <c r="O19" s="298" t="e">
        <f>Divident_all!#REF!</f>
        <v>#REF!</v>
      </c>
      <c r="P19" s="299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397" t="e">
        <f>Divident_all!#REF!</f>
        <v>#REF!</v>
      </c>
      <c r="C20" s="397" t="e">
        <f>Divident_all!#REF!</f>
        <v>#REF!</v>
      </c>
      <c r="D20" s="398" t="e">
        <f>Divident_all!#REF!</f>
        <v>#REF!</v>
      </c>
      <c r="E20" s="399">
        <f ca="1">IFERROR(__xludf.DUMMYFUNCTION("(((H20/GOOGLEFINANCE (""Currency:USDRON""))/D20)+F20)"),0.112481970023993)</f>
        <v>0.112481970023993</v>
      </c>
      <c r="F20" s="397" t="e">
        <f>Divident_all!#REF!</f>
        <v>#REF!</v>
      </c>
      <c r="G20" s="398">
        <f ca="1">IFERROR(__xludf.DUMMYFUNCTION("H20/GOOGLEFINANCE (""Currency:USDRON"")"),5.56284906877906)</f>
        <v>5.5628490687790597</v>
      </c>
      <c r="H20" s="400">
        <v>25</v>
      </c>
      <c r="I20" s="401" t="e">
        <f t="shared" si="5"/>
        <v>#REF!</v>
      </c>
      <c r="J20" s="398" t="e">
        <f t="shared" ca="1" si="4"/>
        <v>#REF!</v>
      </c>
      <c r="K20" s="402">
        <f ca="1">IFERROR(__xludf.DUMMYFUNCTION("(F20*C20)/100*GOOGLEFINANCE (""Currency:USDRON"")"),0.400875989520499)</f>
        <v>0.40087598952049902</v>
      </c>
      <c r="L20" s="403">
        <f ca="1">IFERROR(__xludf.DUMMYFUNCTION("(((H20/GOOGLEFINANCE (""Currency:USDRON""))/D20)*C20)/100*GOOGLEFINANCE (""Currency:USDRON"")"),0.170344910757356)</f>
        <v>0.170344910757356</v>
      </c>
      <c r="M20" s="525">
        <f t="shared" ca="1" si="2"/>
        <v>0.42493168763016004</v>
      </c>
      <c r="N20" s="405" t="e">
        <f>Divident_all!#REF!</f>
        <v>#REF!</v>
      </c>
      <c r="O20" s="405" t="e">
        <f>Divident_all!#REF!</f>
        <v>#REF!</v>
      </c>
      <c r="P20" s="406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338" t="e">
        <f>Divident_all!#REF!</f>
        <v>#REF!</v>
      </c>
      <c r="C21" s="338" t="e">
        <f>Divident_all!#REF!</f>
        <v>#REF!</v>
      </c>
      <c r="D21" s="339" t="e">
        <f>Divident_all!#REF!</f>
        <v>#REF!</v>
      </c>
      <c r="E21" s="340">
        <f ca="1">IFERROR(__xludf.DUMMYFUNCTION("(((H21/GOOGLEFINANCE (""Currency:USDRON""))/D21)+F21)"),0.116267980352061)</f>
        <v>0.116267980352061</v>
      </c>
      <c r="F21" s="338" t="e">
        <f>Divident_all!#REF!</f>
        <v>#REF!</v>
      </c>
      <c r="G21" s="339">
        <f ca="1">IFERROR(__xludf.DUMMYFUNCTION("H21/GOOGLEFINANCE (""Currency:USDRON"")"),5.56284906877906)</f>
        <v>5.5628490687790597</v>
      </c>
      <c r="H21" s="341">
        <v>25</v>
      </c>
      <c r="I21" s="342" t="e">
        <f t="shared" si="5"/>
        <v>#REF!</v>
      </c>
      <c r="J21" s="339" t="e">
        <f t="shared" ca="1" si="4"/>
        <v>#REF!</v>
      </c>
      <c r="K21" s="333">
        <f ca="1">IFERROR(__xludf.DUMMYFUNCTION("(F21*C21)/100*GOOGLEFINANCE (""Currency:USDRON"")"),0.2162294644575)</f>
        <v>0.21622946445749999</v>
      </c>
      <c r="L21" s="343">
        <f ca="1">IFERROR(__xludf.DUMMYFUNCTION("(((H21/GOOGLEFINANCE (""Currency:USDRON""))/D21)*C21)/100*GOOGLEFINANCE (""Currency:USDRON"")"),0.17566048341765)</f>
        <v>0.17566048341765</v>
      </c>
      <c r="M21" s="335">
        <f t="shared" ca="1" si="2"/>
        <v>0.81237995875523317</v>
      </c>
      <c r="N21" s="344" t="e">
        <f>Divident_all!#REF!</f>
        <v>#REF!</v>
      </c>
      <c r="O21" s="344" t="e">
        <f>Divident_all!#REF!</f>
        <v>#REF!</v>
      </c>
      <c r="P21" s="345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20" t="e">
        <f>Divident_all!#REF!</f>
        <v>#REF!</v>
      </c>
      <c r="C22" s="320" t="e">
        <f>Divident_all!#REF!</f>
        <v>#REF!</v>
      </c>
      <c r="D22" s="321" t="e">
        <f>Divident_all!#REF!</f>
        <v>#REF!</v>
      </c>
      <c r="E22" s="322">
        <f ca="1">IFERROR(__xludf.DUMMYFUNCTION("(((H22/GOOGLEFINANCE (""Currency:USDRON""))/D22)+F22)"),0.108834681450728)</f>
        <v>0.108834681450728</v>
      </c>
      <c r="F22" s="320" t="e">
        <f>Divident_all!#REF!</f>
        <v>#REF!</v>
      </c>
      <c r="G22" s="321">
        <f ca="1">IFERROR(__xludf.DUMMYFUNCTION("H22/GOOGLEFINANCE (""Currency:USDRON"")"),4.45027925502325)</f>
        <v>4.4502792550232497</v>
      </c>
      <c r="H22" s="293">
        <v>20</v>
      </c>
      <c r="I22" s="323" t="e">
        <f t="shared" si="5"/>
        <v>#REF!</v>
      </c>
      <c r="J22" s="321" t="e">
        <f t="shared" ca="1" si="4"/>
        <v>#REF!</v>
      </c>
      <c r="K22" s="324">
        <f ca="1">IFERROR(__xludf.DUMMYFUNCTION("(F22*C22)/100*GOOGLEFINANCE (""Currency:USDRON"")"),0.437147263917)</f>
        <v>0.43714726391699998</v>
      </c>
      <c r="L22" s="325">
        <f ca="1">IFERROR(__xludf.DUMMYFUNCTION("(((H22/GOOGLEFINANCE (""Currency:USDRON""))/D22)*C22)/100*GOOGLEFINANCE (""Currency:USDRON"")"),0.125333769276878)</f>
        <v>0.125333769276878</v>
      </c>
      <c r="M22" s="297">
        <f t="shared" ca="1" si="2"/>
        <v>0.28670834664236811</v>
      </c>
      <c r="N22" s="326" t="e">
        <f>Divident_all!#REF!</f>
        <v>#REF!</v>
      </c>
      <c r="O22" s="326" t="e">
        <f>Divident_all!#REF!</f>
        <v>#REF!</v>
      </c>
      <c r="P22" s="327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280" t="e">
        <f>Divident_all!#REF!</f>
        <v>#REF!</v>
      </c>
      <c r="C23" s="280" t="e">
        <f>Divident_all!#REF!</f>
        <v>#REF!</v>
      </c>
      <c r="D23" s="281" t="e">
        <f>Divident_all!#REF!</f>
        <v>#REF!</v>
      </c>
      <c r="E23" s="282">
        <f ca="1">IFERROR(__xludf.DUMMYFUNCTION("(((H23/GOOGLEFINANCE (""Currency:USDRON""))/D23)+F23)"),0.0562660518690449)</f>
        <v>5.6266051869044903E-2</v>
      </c>
      <c r="F23" s="280" t="e">
        <f>Divident_all!#REF!</f>
        <v>#REF!</v>
      </c>
      <c r="G23" s="281">
        <f ca="1">IFERROR(__xludf.DUMMYFUNCTION("H23/GOOGLEFINANCE (""Currency:USDRON"")"),4.45027925502325)</f>
        <v>4.4502792550232497</v>
      </c>
      <c r="H23" s="283">
        <v>20</v>
      </c>
      <c r="I23" s="284" t="e">
        <f t="shared" si="5"/>
        <v>#REF!</v>
      </c>
      <c r="J23" s="281" t="e">
        <f t="shared" ca="1" si="4"/>
        <v>#REF!</v>
      </c>
      <c r="K23" s="285">
        <f ca="1">IFERROR(__xludf.DUMMYFUNCTION("(F23*C23)/100*GOOGLEFINANCE (""Currency:USDRON"")"),0.1251193168095)</f>
        <v>0.1251193168095</v>
      </c>
      <c r="L23" s="286">
        <f ca="1">IFERROR(__xludf.DUMMYFUNCTION("(((H23/GOOGLEFINANCE (""Currency:USDRON""))/D23)*C23)/100*GOOGLEFINANCE (""Currency:USDRON"")"),0.115102683709941)</f>
        <v>0.11510268370994101</v>
      </c>
      <c r="M23" s="287">
        <f t="shared" ca="1" si="2"/>
        <v>0.91994335203404454</v>
      </c>
      <c r="N23" s="288" t="e">
        <f>Divident_all!#REF!</f>
        <v>#REF!</v>
      </c>
      <c r="O23" s="288" t="e">
        <f>Divident_all!#REF!</f>
        <v>#REF!</v>
      </c>
      <c r="P23" s="289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166"/>
      <c r="B24" s="355" t="e">
        <f>Divident_all!#REF!</f>
        <v>#REF!</v>
      </c>
      <c r="C24" s="355" t="e">
        <f>Divident_all!#REF!</f>
        <v>#REF!</v>
      </c>
      <c r="D24" s="356" t="e">
        <f>Divident_all!#REF!</f>
        <v>#REF!</v>
      </c>
      <c r="E24" s="357">
        <f ca="1">IFERROR(__xludf.DUMMYFUNCTION("(((H24/GOOGLEFINANCE (""Currency:USDRON""))/D24)+F24)"),0.136091278753522)</f>
        <v>0.136091278753522</v>
      </c>
      <c r="F24" s="355" t="e">
        <f>Divident_all!#REF!</f>
        <v>#REF!</v>
      </c>
      <c r="G24" s="356">
        <f ca="1">IFERROR(__xludf.DUMMYFUNCTION("H24/GOOGLEFINANCE (""Currency:USDRON"")"),4.45027925502325)</f>
        <v>4.4502792550232497</v>
      </c>
      <c r="H24" s="358">
        <v>20</v>
      </c>
      <c r="I24" s="359" t="e">
        <f t="shared" si="5"/>
        <v>#REF!</v>
      </c>
      <c r="J24" s="356" t="e">
        <f t="shared" ca="1" si="4"/>
        <v>#REF!</v>
      </c>
      <c r="K24" s="360">
        <f ca="1">IFERROR(__xludf.DUMMYFUNCTION("(F24*C24)/100*GOOGLEFINANCE (""Currency:USDRON"")"),0.3561304604)</f>
        <v>0.35613046040000002</v>
      </c>
      <c r="L24" s="361">
        <f ca="1">IFERROR(__xludf.DUMMYFUNCTION("(((H24/GOOGLEFINANCE (""Currency:USDRON""))/D24)*C24)/100*GOOGLEFINANCE (""Currency:USDRON"")"),0.133155792276964)</f>
        <v>0.133155792276964</v>
      </c>
      <c r="M24" s="362">
        <f t="shared" ca="1" si="2"/>
        <v>0.37389610573441417</v>
      </c>
      <c r="N24" s="363" t="e">
        <f>Divident_all!#REF!</f>
        <v>#REF!</v>
      </c>
      <c r="O24" s="363" t="e">
        <f>Divident_all!#REF!</f>
        <v>#REF!</v>
      </c>
      <c r="P24" s="364" t="e">
        <f>Divident_all!#REF!</f>
        <v>#REF!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166"/>
      <c r="B25" s="346" t="e">
        <f>Divident_all!#REF!</f>
        <v>#REF!</v>
      </c>
      <c r="C25" s="346" t="e">
        <f>Divident_all!#REF!</f>
        <v>#REF!</v>
      </c>
      <c r="D25" s="347" t="e">
        <f>Divident_all!#REF!</f>
        <v>#REF!</v>
      </c>
      <c r="E25" s="348">
        <f ca="1">IFERROR(__xludf.DUMMYFUNCTION("(((H25/GOOGLEFINANCE (""Currency:USDRON""))/D25)+F25)"),0.103152555896682)</f>
        <v>0.103152555896682</v>
      </c>
      <c r="F25" s="346" t="e">
        <f>Divident_all!#REF!</f>
        <v>#REF!</v>
      </c>
      <c r="G25" s="347">
        <f ca="1">IFERROR(__xludf.DUMMYFUNCTION("H25/GOOGLEFINANCE (""Currency:USDRON"")"),4.45027925502325)</f>
        <v>4.4502792550232497</v>
      </c>
      <c r="H25" s="283">
        <v>20</v>
      </c>
      <c r="I25" s="349" t="e">
        <f t="shared" si="5"/>
        <v>#REF!</v>
      </c>
      <c r="J25" s="347" t="e">
        <f t="shared" ca="1" si="4"/>
        <v>#REF!</v>
      </c>
      <c r="K25" s="350">
        <f ca="1">IFERROR(__xludf.DUMMYFUNCTION("(F25*C25)/100*GOOGLEFINANCE (""Currency:USDRON"")"),0.5994408186832)</f>
        <v>0.59944081868319998</v>
      </c>
      <c r="L25" s="351">
        <f ca="1">IFERROR(__xludf.DUMMYFUNCTION("(((H25/GOOGLEFINANCE (""Currency:USDRON""))/D25)*C25)/100*GOOGLEFINANCE (""Currency:USDRON"")"),0.105197591528825)</f>
        <v>0.105197591528825</v>
      </c>
      <c r="M25" s="352">
        <f t="shared" ca="1" si="2"/>
        <v>0.17549287310783077</v>
      </c>
      <c r="N25" s="353" t="e">
        <f>Divident_all!#REF!</f>
        <v>#REF!</v>
      </c>
      <c r="O25" s="353" t="e">
        <f>Divident_all!#REF!</f>
        <v>#REF!</v>
      </c>
      <c r="P25" s="354" t="e">
        <f>Divident_all!#REF!</f>
        <v>#REF!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  <row r="26" spans="1:33" ht="12.75">
      <c r="A26" s="166"/>
      <c r="B26" s="355" t="e">
        <f>Divident_all!#REF!</f>
        <v>#REF!</v>
      </c>
      <c r="C26" s="355" t="e">
        <f>Divident_all!#REF!</f>
        <v>#REF!</v>
      </c>
      <c r="D26" s="356" t="e">
        <f>Divident_all!#REF!</f>
        <v>#REF!</v>
      </c>
      <c r="E26" s="357">
        <f ca="1">IFERROR(__xludf.DUMMYFUNCTION("(((H26/GOOGLEFINANCE (""Currency:USDRON""))/D26)+F26)"),0.204198484418204)</f>
        <v>0.20419848441820401</v>
      </c>
      <c r="F26" s="355" t="e">
        <f>Divident_all!#REF!</f>
        <v>#REF!</v>
      </c>
      <c r="G26" s="356">
        <f ca="1">IFERROR(__xludf.DUMMYFUNCTION("H26/GOOGLEFINANCE (""Currency:USDRON"")"),3.33770944126743)</f>
        <v>3.33770944126743</v>
      </c>
      <c r="H26" s="358">
        <v>15</v>
      </c>
      <c r="I26" s="359" t="e">
        <f t="shared" si="5"/>
        <v>#REF!</v>
      </c>
      <c r="J26" s="356" t="e">
        <f t="shared" ca="1" si="4"/>
        <v>#REF!</v>
      </c>
      <c r="K26" s="360">
        <f ca="1">IFERROR(__xludf.DUMMYFUNCTION("(F26*C26)/100*GOOGLEFINANCE (""Currency:USDRON"")"),0.33957814541508)</f>
        <v>0.33957814541508002</v>
      </c>
      <c r="L26" s="361">
        <f ca="1">IFERROR(__xludf.DUMMYFUNCTION("(((H26/GOOGLEFINANCE (""Currency:USDRON""))/D26)*C26)/100*GOOGLEFINANCE (""Currency:USDRON"")"),0.0783371559633027)</f>
        <v>7.8337155963302693E-2</v>
      </c>
      <c r="M26" s="362">
        <f t="shared" ca="1" si="2"/>
        <v>0.23068962776608617</v>
      </c>
      <c r="N26" s="363" t="e">
        <f>Divident_all!#REF!</f>
        <v>#REF!</v>
      </c>
      <c r="O26" s="363" t="e">
        <f>Divident_all!#REF!</f>
        <v>#REF!</v>
      </c>
      <c r="P26" s="364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166"/>
      <c r="B27" s="526" t="e">
        <f>Divident_all!#REF!</f>
        <v>#REF!</v>
      </c>
      <c r="C27" s="526" t="e">
        <f>Divident_all!#REF!</f>
        <v>#REF!</v>
      </c>
      <c r="D27" s="527" t="e">
        <f>Divident_all!#REF!</f>
        <v>#REF!</v>
      </c>
      <c r="E27" s="528">
        <f ca="1">IFERROR(__xludf.DUMMYFUNCTION("(((H27/GOOGLEFINANCE (""Currency:USDRON""))/D27)+F27)"),0.118502661915974)</f>
        <v>0.118502661915974</v>
      </c>
      <c r="F27" s="526" t="e">
        <f>Divident_all!#REF!</f>
        <v>#REF!</v>
      </c>
      <c r="G27" s="527">
        <f ca="1">IFERROR(__xludf.DUMMYFUNCTION("H27/GOOGLEFINANCE (""Currency:USDRON"")"),3.33770944126743)</f>
        <v>3.33770944126743</v>
      </c>
      <c r="H27" s="529">
        <v>15</v>
      </c>
      <c r="I27" s="530" t="e">
        <f t="shared" si="5"/>
        <v>#REF!</v>
      </c>
      <c r="J27" s="527" t="e">
        <f t="shared" ca="1" si="4"/>
        <v>#REF!</v>
      </c>
      <c r="K27" s="531">
        <f ca="1">IFERROR(__xludf.DUMMYFUNCTION("(F27*C27)/100*GOOGLEFINANCE (""Currency:USDRON"")"),0.217417113523349)</f>
        <v>0.217417113523349</v>
      </c>
      <c r="L27" s="532">
        <f ca="1">IFERROR(__xludf.DUMMYFUNCTION("(((H27/GOOGLEFINANCE (""Currency:USDRON""))/D27)*C27)/100*GOOGLEFINANCE (""Currency:USDRON"")"),0.0515271069995238)</f>
        <v>5.15271069995238E-2</v>
      </c>
      <c r="M27" s="414">
        <f t="shared" ca="1" si="2"/>
        <v>0.23699655544359974</v>
      </c>
      <c r="N27" s="533" t="e">
        <f>Divident_all!#REF!</f>
        <v>#REF!</v>
      </c>
      <c r="O27" s="533" t="e">
        <f>Divident_all!#REF!</f>
        <v>#REF!</v>
      </c>
      <c r="P27" s="534" t="e">
        <f>Divident_all!#REF!</f>
        <v>#REF!</v>
      </c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  <row r="28" spans="1:33" ht="12.75">
      <c r="A28" s="166"/>
      <c r="B28" s="290" t="e">
        <f>Divident_all!#REF!</f>
        <v>#REF!</v>
      </c>
      <c r="C28" s="290" t="e">
        <f>Divident_all!#REF!</f>
        <v>#REF!</v>
      </c>
      <c r="D28" s="291" t="e">
        <f>Divident_all!#REF!</f>
        <v>#REF!</v>
      </c>
      <c r="E28" s="292">
        <f ca="1">IFERROR(__xludf.DUMMYFUNCTION("(((H28/GOOGLEFINANCE (""Currency:USDRON""))/D28)+F28)"),0.517982071025815)</f>
        <v>0.51798207102581495</v>
      </c>
      <c r="F28" s="290" t="e">
        <f>Divident_all!#REF!</f>
        <v>#REF!</v>
      </c>
      <c r="G28" s="291">
        <f ca="1">IFERROR(__xludf.DUMMYFUNCTION("H28/GOOGLEFINANCE (""Currency:USDRON"")"),3.33770944126743)</f>
        <v>3.33770944126743</v>
      </c>
      <c r="H28" s="293">
        <v>15</v>
      </c>
      <c r="I28" s="294" t="e">
        <f t="shared" si="5"/>
        <v>#REF!</v>
      </c>
      <c r="J28" s="291" t="e">
        <f t="shared" ca="1" si="4"/>
        <v>#REF!</v>
      </c>
      <c r="K28" s="295">
        <f ca="1">IFERROR(__xludf.DUMMYFUNCTION("(F28*C28)/100*GOOGLEFINANCE (""Currency:USDRON"")"),1.497414885252)</f>
        <v>1.4974148852519999</v>
      </c>
      <c r="L28" s="296">
        <f ca="1">IFERROR(__xludf.DUMMYFUNCTION("(((H28/GOOGLEFINANCE (""Currency:USDRON""))/D28)*C28)/100*GOOGLEFINANCE (""Currency:USDRON"")"),0.038974843510098)</f>
        <v>3.8974843510098001E-2</v>
      </c>
      <c r="M28" s="297">
        <f t="shared" ca="1" si="2"/>
        <v>2.6028086066166575E-2</v>
      </c>
      <c r="N28" s="298" t="e">
        <f>Divident_all!#REF!</f>
        <v>#REF!</v>
      </c>
      <c r="O28" s="298" t="e">
        <f>Divident_all!#REF!</f>
        <v>#REF!</v>
      </c>
      <c r="P28" s="299" t="e">
        <f>Divident_all!#REF!</f>
        <v>#REF!</v>
      </c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defaultColWidth="12.5703125" defaultRowHeight="15.75" customHeight="1"/>
  <sheetData>
    <row r="1" spans="1:14">
      <c r="A1" s="9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8</v>
      </c>
      <c r="J1" s="2" t="s">
        <v>30</v>
      </c>
      <c r="K1" s="2" t="s">
        <v>31</v>
      </c>
      <c r="L1" s="2" t="s">
        <v>32</v>
      </c>
      <c r="M1" s="2" t="s">
        <v>33</v>
      </c>
      <c r="N1" s="1" t="s">
        <v>22</v>
      </c>
    </row>
    <row r="2" spans="1:14">
      <c r="A2" s="1">
        <v>2022</v>
      </c>
      <c r="B2" s="40">
        <v>0</v>
      </c>
      <c r="C2" s="40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40">
        <v>0</v>
      </c>
      <c r="J2" s="41">
        <f>'2022'!D31</f>
        <v>7.4900000000000011</v>
      </c>
      <c r="K2" s="41">
        <f>'2022'!H31</f>
        <v>4.1900000000000004</v>
      </c>
      <c r="L2" s="41">
        <f>'2022'!L31</f>
        <v>7.75</v>
      </c>
      <c r="M2" s="41">
        <f>'2022'!P31</f>
        <v>17.38</v>
      </c>
      <c r="N2" s="14">
        <f t="shared" ref="N2:N3" si="0">SUM(B2:M2)</f>
        <v>36.81</v>
      </c>
    </row>
    <row r="3" spans="1:14">
      <c r="A3" s="1">
        <v>2023</v>
      </c>
      <c r="B3" s="41">
        <f>'2023'!D33</f>
        <v>8.1300000000000008</v>
      </c>
      <c r="C3" s="41">
        <f>'2023'!H33</f>
        <v>14.629999999999999</v>
      </c>
      <c r="D3" s="41">
        <f>'2023'!L33</f>
        <v>24.19</v>
      </c>
      <c r="E3" s="41">
        <f>'2023'!P33</f>
        <v>2.0499999999999998</v>
      </c>
      <c r="F3" s="41">
        <f>'2023'!T33</f>
        <v>0</v>
      </c>
      <c r="G3" s="41">
        <f>'2023'!X33</f>
        <v>0</v>
      </c>
      <c r="H3" s="41">
        <f>'2023'!AB33</f>
        <v>0</v>
      </c>
      <c r="I3" s="41">
        <f>'2023'!AF33</f>
        <v>0</v>
      </c>
      <c r="J3" s="41">
        <f>'2023'!AJ33</f>
        <v>0</v>
      </c>
      <c r="K3" s="41">
        <f>'2023'!AN33</f>
        <v>0</v>
      </c>
      <c r="L3" s="41">
        <f>'2023'!AR33</f>
        <v>0</v>
      </c>
      <c r="M3" s="41">
        <f>'2023'!AV33</f>
        <v>0</v>
      </c>
      <c r="N3" s="14">
        <f t="shared" si="0"/>
        <v>49</v>
      </c>
    </row>
    <row r="4" spans="1:14">
      <c r="A4" s="1">
        <v>2024</v>
      </c>
      <c r="N4" s="9"/>
    </row>
    <row r="5" spans="1:14">
      <c r="A5" s="1">
        <v>2025</v>
      </c>
      <c r="N5" s="9"/>
    </row>
    <row r="6" spans="1:14">
      <c r="A6" s="1">
        <v>2026</v>
      </c>
      <c r="N6" s="9"/>
    </row>
    <row r="7" spans="1:14">
      <c r="A7" s="1">
        <v>2027</v>
      </c>
      <c r="N7" s="9"/>
    </row>
    <row r="8" spans="1:14">
      <c r="A8" s="1">
        <v>2028</v>
      </c>
      <c r="N8" s="9"/>
    </row>
    <row r="9" spans="1:14">
      <c r="A9" s="1">
        <v>2029</v>
      </c>
      <c r="N9" s="9"/>
    </row>
    <row r="10" spans="1:14">
      <c r="A10" s="1">
        <v>2030</v>
      </c>
      <c r="N10" s="9"/>
    </row>
    <row r="11" spans="1:14">
      <c r="A11" s="1">
        <v>2031</v>
      </c>
      <c r="N11" s="9"/>
    </row>
    <row r="12" spans="1:14">
      <c r="A12" s="9"/>
    </row>
    <row r="13" spans="1:14">
      <c r="A13" s="9"/>
    </row>
    <row r="14" spans="1:14">
      <c r="A14" s="1"/>
    </row>
    <row r="15" spans="1:14">
      <c r="A15" s="1"/>
    </row>
    <row r="16" spans="1:1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G30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205</v>
      </c>
      <c r="H1" s="43" t="s">
        <v>206</v>
      </c>
      <c r="I1" s="43" t="s">
        <v>207</v>
      </c>
      <c r="J1" s="12"/>
      <c r="K1" s="12" t="s">
        <v>178</v>
      </c>
      <c r="L1" s="12" t="s">
        <v>179</v>
      </c>
      <c r="M1" s="12" t="s">
        <v>203</v>
      </c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263">
        <v>10</v>
      </c>
      <c r="I2" s="263">
        <v>10</v>
      </c>
      <c r="J2" s="12"/>
      <c r="K2" s="12">
        <v>50</v>
      </c>
      <c r="L2" s="264">
        <f ca="1">((L4*4)*100)/(500+K2)</f>
        <v>4.4647622496877357</v>
      </c>
      <c r="M2" s="12">
        <v>20</v>
      </c>
      <c r="N2" s="12"/>
      <c r="O2" s="12"/>
      <c r="P2" s="12"/>
    </row>
    <row r="3" spans="1:33" ht="15.75" customHeight="1">
      <c r="A3" s="265" t="s">
        <v>33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/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AVERAGE(C5:C26)</f>
        <v>#REF!</v>
      </c>
      <c r="D4" s="118" t="e">
        <f t="shared" si="0"/>
        <v>#REF!</v>
      </c>
      <c r="E4" s="267">
        <f t="shared" ca="1" si="0"/>
        <v>0.54704070563291463</v>
      </c>
      <c r="F4" s="116"/>
      <c r="G4" s="118">
        <f ca="1">SUM(G5:G26)</f>
        <v>126.83295876816256</v>
      </c>
      <c r="H4" s="116">
        <f>500+K2+M2-SUM(H5:H26)</f>
        <v>0</v>
      </c>
      <c r="I4" s="118"/>
      <c r="J4" s="118" t="e">
        <f t="shared" ref="J4:L4" ca="1" si="1">SUM(J5:J26)</f>
        <v>#REF!</v>
      </c>
      <c r="K4" s="123">
        <f t="shared" ca="1" si="1"/>
        <v>20.807581111128851</v>
      </c>
      <c r="L4" s="123">
        <f t="shared" ca="1" si="1"/>
        <v>6.1390480933206373</v>
      </c>
      <c r="M4" s="535">
        <f t="shared" ref="M4:M26" ca="1" si="2">(L4/K4)</f>
        <v>0.29503900816405765</v>
      </c>
      <c r="N4" s="125"/>
      <c r="O4" s="125"/>
      <c r="P4" s="126"/>
    </row>
    <row r="5" spans="1:33" ht="12.75">
      <c r="A5" s="166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(""Currency:USDRON""))/D5)+F5)"),2.7506444083731)</f>
        <v>2.7506444083731001</v>
      </c>
      <c r="F5" s="269" t="e">
        <f>Divident_all!#REF!</f>
        <v>#REF!</v>
      </c>
      <c r="G5" s="270">
        <f ca="1">IFERROR(__xludf.DUMMYFUNCTION("H5/GOOGLEFINANCE (""Currency:USDRON"")"),7.78798869629069)</f>
        <v>7.7879886962906903</v>
      </c>
      <c r="H5" s="272">
        <v>35</v>
      </c>
      <c r="I5" s="273" t="e">
        <f>D5/C5</f>
        <v>#REF!</v>
      </c>
      <c r="J5" s="270" t="e">
        <f t="shared" ref="J5:J26" ca="1" si="3">((E5*C5)/100)</f>
        <v>#REF!</v>
      </c>
      <c r="K5" s="274">
        <f ca="1">IFERROR(__xludf.DUMMYFUNCTION("(F5*C5)/100*GOOGLEFINANCE (""Currency:USDRON"")"),3.72727710991999)</f>
        <v>3.72727710991999</v>
      </c>
      <c r="L5" s="275">
        <f ca="1">IFERROR(__xludf.DUMMYFUNCTION("(((H5/GOOGLEFINANCE (""Currency:USDRON""))/D5)*C5)/100*GOOGLEFINANCE (""Currency:USDRON"")"),1.21739130434782)</f>
        <v>1.2173913043478199</v>
      </c>
      <c r="M5" s="536">
        <f t="shared" ca="1" si="2"/>
        <v>0.32661679516872644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</row>
    <row r="6" spans="1:33" ht="12.75">
      <c r="A6" s="166"/>
      <c r="B6" s="269" t="e">
        <f>Divident_all!#REF!</f>
        <v>#REF!</v>
      </c>
      <c r="C6" s="269" t="e">
        <f>Divident_all!#REF!</f>
        <v>#REF!</v>
      </c>
      <c r="D6" s="270" t="e">
        <f>Divident_all!#REF!</f>
        <v>#REF!</v>
      </c>
      <c r="E6" s="271">
        <f ca="1">IFERROR(__xludf.DUMMYFUNCTION("(((H6/GOOGLEFINANCE (""Currency:USDRON""))/D6)+F6)"),2.01359692876616)</f>
        <v>2.0135969287661601</v>
      </c>
      <c r="F6" s="269" t="e">
        <f>Divident_all!#REF!</f>
        <v>#REF!</v>
      </c>
      <c r="G6" s="270">
        <f ca="1">IFERROR(__xludf.DUMMYFUNCTION("H6/GOOGLEFINANCE (""Currency:USDRON"")"),7.78798869629069)</f>
        <v>7.7879886962906903</v>
      </c>
      <c r="H6" s="272">
        <v>35</v>
      </c>
      <c r="I6" s="273" t="e">
        <f>D6/(C6*3)</f>
        <v>#REF!</v>
      </c>
      <c r="J6" s="270" t="e">
        <f t="shared" ca="1" si="3"/>
        <v>#REF!</v>
      </c>
      <c r="K6" s="319">
        <f ca="1">IFERROR(__xludf.DUMMYFUNCTION("(F6*C6)/100*GOOGLEFINANCE (""Currency:USDRON"")"),2.2457488456975)</f>
        <v>2.2457488456974999</v>
      </c>
      <c r="L6" s="275">
        <f ca="1">IFERROR(__xludf.DUMMYFUNCTION("(((H6/GOOGLEFINANCE (""Currency:USDRON""))/D6)*C6)/100*GOOGLEFINANCE (""Currency:USDRON"")"),0.242810292633703)</f>
        <v>0.24281029263370299</v>
      </c>
      <c r="M6" s="537">
        <f t="shared" ca="1" si="2"/>
        <v>0.10811996768867951</v>
      </c>
      <c r="N6" s="277" t="e">
        <f>Divident_all!#REF!</f>
        <v>#REF!</v>
      </c>
      <c r="O6" s="277" t="e">
        <f>Divident_all!#REF!</f>
        <v>#REF!</v>
      </c>
      <c r="P6" s="278" t="e">
        <f>Divident_all!#REF!</f>
        <v>#REF!</v>
      </c>
    </row>
    <row r="7" spans="1:33" ht="12.75">
      <c r="A7" s="166"/>
      <c r="B7" s="471" t="e">
        <f>Divident_all!#REF!</f>
        <v>#REF!</v>
      </c>
      <c r="C7" s="471" t="e">
        <f>Divident_all!#REF!</f>
        <v>#REF!</v>
      </c>
      <c r="D7" s="472" t="e">
        <f>Divident_all!#REF!</f>
        <v>#REF!</v>
      </c>
      <c r="E7" s="473">
        <f ca="1">IFERROR(__xludf.DUMMYFUNCTION("(((H7/GOOGLEFINANCE (""Currency:USDRON""))/D7)+F7)"),0.698138459014148)</f>
        <v>0.69813845901414795</v>
      </c>
      <c r="F7" s="471" t="e">
        <f>Divident_all!#REF!</f>
        <v>#REF!</v>
      </c>
      <c r="G7" s="472">
        <f ca="1">IFERROR(__xludf.DUMMYFUNCTION("H7/GOOGLEFINANCE (""Currency:USDRON"")"),6.67541888253487)</f>
        <v>6.6754188825348697</v>
      </c>
      <c r="H7" s="464">
        <v>30</v>
      </c>
      <c r="I7" s="474" t="e">
        <f t="shared" ref="I7:I10" si="4">D7/C7</f>
        <v>#REF!</v>
      </c>
      <c r="J7" s="472" t="e">
        <f t="shared" ca="1" si="3"/>
        <v>#REF!</v>
      </c>
      <c r="K7" s="475">
        <f ca="1">IFERROR(__xludf.DUMMYFUNCTION("(F7*C7)/100*GOOGLEFINANCE (""Currency:USDRON"")"),1.54811379358349)</f>
        <v>1.5481137935834901</v>
      </c>
      <c r="L7" s="476">
        <f ca="1">IFERROR(__xludf.DUMMYFUNCTION("(((H7/GOOGLEFINANCE (""Currency:USDRON""))/D7)*C7)/100*GOOGLEFINANCE (""Currency:USDRON"")"),0.499107598164201)</f>
        <v>0.49910759816420103</v>
      </c>
      <c r="M7" s="538">
        <f t="shared" ca="1" si="2"/>
        <v>0.32239722960473965</v>
      </c>
      <c r="N7" s="477" t="e">
        <f>Divident_all!#REF!</f>
        <v>#REF!</v>
      </c>
      <c r="O7" s="477" t="e">
        <f>Divident_all!#REF!</f>
        <v>#REF!</v>
      </c>
      <c r="P7" s="478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166"/>
      <c r="B8" s="300" t="e">
        <f>Divident_all!#REF!</f>
        <v>#REF!</v>
      </c>
      <c r="C8" s="300" t="e">
        <f>Divident_all!#REF!</f>
        <v>#REF!</v>
      </c>
      <c r="D8" s="301" t="e">
        <f>Divident_all!#REF!</f>
        <v>#REF!</v>
      </c>
      <c r="E8" s="302">
        <f ca="1">IFERROR(__xludf.DUMMYFUNCTION("(((H8/GOOGLEFINANCE (""Currency:USDRON""))/D8)+F8)"),0.288336525772562)</f>
        <v>0.28833652577256202</v>
      </c>
      <c r="F8" s="300" t="e">
        <f>Divident_all!#REF!</f>
        <v>#REF!</v>
      </c>
      <c r="G8" s="301">
        <f ca="1">IFERROR(__xludf.DUMMYFUNCTION("H8/GOOGLEFINANCE (""Currency:USDRON"")"),6.67541888253487)</f>
        <v>6.6754188825348697</v>
      </c>
      <c r="H8" s="303">
        <v>30</v>
      </c>
      <c r="I8" s="304" t="e">
        <f t="shared" si="4"/>
        <v>#REF!</v>
      </c>
      <c r="J8" s="301" t="e">
        <f t="shared" ca="1" si="3"/>
        <v>#REF!</v>
      </c>
      <c r="K8" s="305">
        <f ca="1">IFERROR(__xludf.DUMMYFUNCTION("(F8*C8)/100*GOOGLEFINANCE (""Currency:USDRON"")"),0.810081029394)</f>
        <v>0.81008102939399995</v>
      </c>
      <c r="L8" s="306">
        <f ca="1">IFERROR(__xludf.DUMMYFUNCTION("(((H8/GOOGLEFINANCE (""Currency:USDRON""))/D8)*C8)/100*GOOGLEFINANCE (""Currency:USDRON"")"),0.427420557959122)</f>
        <v>0.42742055795912198</v>
      </c>
      <c r="M8" s="539">
        <f t="shared" ca="1" si="2"/>
        <v>0.52762691934517203</v>
      </c>
      <c r="N8" s="308" t="e">
        <f>Divident_all!#REF!</f>
        <v>#REF!</v>
      </c>
      <c r="O8" s="308" t="e">
        <f>Divident_all!#REF!</f>
        <v>#REF!</v>
      </c>
      <c r="P8" s="30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166"/>
      <c r="B9" s="320" t="e">
        <f>Divident_all!#REF!</f>
        <v>#REF!</v>
      </c>
      <c r="C9" s="320" t="e">
        <f>Divident_all!#REF!</f>
        <v>#REF!</v>
      </c>
      <c r="D9" s="321" t="e">
        <f>Divident_all!#REF!</f>
        <v>#REF!</v>
      </c>
      <c r="E9" s="322">
        <f ca="1">IFERROR(__xludf.DUMMYFUNCTION("(((H9/GOOGLEFINANCE (""Currency:USDRON""))/D9)+F9)"),0.477030278978762)</f>
        <v>0.47703027897876199</v>
      </c>
      <c r="F9" s="320" t="e">
        <f>Divident_all!#REF!</f>
        <v>#REF!</v>
      </c>
      <c r="G9" s="321">
        <f ca="1">IFERROR(__xludf.DUMMYFUNCTION("H9/GOOGLEFINANCE (""Currency:USDRON"")"),6.67541888253487)</f>
        <v>6.6754188825348697</v>
      </c>
      <c r="H9" s="293">
        <v>30</v>
      </c>
      <c r="I9" s="323" t="e">
        <f t="shared" si="4"/>
        <v>#REF!</v>
      </c>
      <c r="J9" s="321" t="e">
        <f t="shared" ca="1" si="3"/>
        <v>#REF!</v>
      </c>
      <c r="K9" s="324">
        <f ca="1">IFERROR(__xludf.DUMMYFUNCTION("(F9*C9)/100*GOOGLEFINANCE (""Currency:USDRON"")"),1.25407914429199)</f>
        <v>1.2540791442919901</v>
      </c>
      <c r="L9" s="325">
        <f ca="1">IFERROR(__xludf.DUMMYFUNCTION("(((H9/GOOGLEFINANCE (""Currency:USDRON""))/D9)*C9)/100*GOOGLEFINANCE (""Currency:USDRON"")"),0.439540059347181)</f>
        <v>0.43954005934718099</v>
      </c>
      <c r="M9" s="540">
        <f t="shared" ca="1" si="2"/>
        <v>0.35048829361988171</v>
      </c>
      <c r="N9" s="326" t="e">
        <f>Divident_all!#REF!</f>
        <v>#REF!</v>
      </c>
      <c r="O9" s="326" t="e">
        <f>Divident_all!#REF!</f>
        <v>#REF!</v>
      </c>
      <c r="P9" s="327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166"/>
      <c r="B10" s="461" t="e">
        <f>Divident_all!#REF!</f>
        <v>#REF!</v>
      </c>
      <c r="C10" s="461" t="e">
        <f>Divident_all!#REF!</f>
        <v>#REF!</v>
      </c>
      <c r="D10" s="462" t="e">
        <f>Divident_all!#REF!</f>
        <v>#REF!</v>
      </c>
      <c r="E10" s="463">
        <f ca="1">IFERROR(__xludf.DUMMYFUNCTION("(((H10/GOOGLEFINANCE (""Currency:USDRON""))/D10)+F10)"),1.35955924548594)</f>
        <v>1.35955924548594</v>
      </c>
      <c r="F10" s="461" t="e">
        <f>Divident_all!#REF!</f>
        <v>#REF!</v>
      </c>
      <c r="G10" s="462">
        <f ca="1">IFERROR(__xludf.DUMMYFUNCTION("H10/GOOGLEFINANCE (""Currency:USDRON"")"),6.67541888253487)</f>
        <v>6.6754188825348697</v>
      </c>
      <c r="H10" s="464">
        <v>30</v>
      </c>
      <c r="I10" s="465" t="e">
        <f t="shared" si="4"/>
        <v>#REF!</v>
      </c>
      <c r="J10" s="462" t="e">
        <f t="shared" ca="1" si="3"/>
        <v>#REF!</v>
      </c>
      <c r="K10" s="475">
        <f ca="1">IFERROR(__xludf.DUMMYFUNCTION("(F10*C10)/100*GOOGLEFINANCE (""Currency:USDRON"")"),1.277811677454)</f>
        <v>1.277811677454</v>
      </c>
      <c r="L10" s="467">
        <f ca="1">IFERROR(__xludf.DUMMYFUNCTION("(((H10/GOOGLEFINANCE (""Currency:USDRON""))/D10)*C10)/100*GOOGLEFINANCE (""Currency:USDRON"")"),0.417711991971901)</f>
        <v>0.41771199197190101</v>
      </c>
      <c r="M10" s="538">
        <f t="shared" ca="1" si="2"/>
        <v>0.32689636457555243</v>
      </c>
      <c r="N10" s="469" t="e">
        <f>Divident_all!#REF!</f>
        <v>#REF!</v>
      </c>
      <c r="O10" s="469" t="e">
        <f>Divident_all!#REF!</f>
        <v>#REF!</v>
      </c>
      <c r="P10" s="470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166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(""Currency:USDRON""))/D11)+F11)"),0.877395274683805)</f>
        <v>0.87739527468380496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>D11/(C11*3)</f>
        <v>#REF!</v>
      </c>
      <c r="J11" s="270" t="e">
        <f t="shared" ca="1" si="3"/>
        <v>#REF!</v>
      </c>
      <c r="K11" s="319">
        <f ca="1">IFERROR(__xludf.DUMMYFUNCTION("(F11*C11)/100*GOOGLEFINANCE (""Currency:USDRON"")"),0.879606554033999)</f>
        <v>0.87960655403399901</v>
      </c>
      <c r="L11" s="275">
        <f ca="1">IFERROR(__xludf.DUMMYFUNCTION("(((H11/GOOGLEFINANCE (""Currency:USDRON""))/D11)*C11)/100*GOOGLEFINANCE (""Currency:USDRON"")"),0.125884482474905)</f>
        <v>0.125884482474905</v>
      </c>
      <c r="M11" s="537">
        <f t="shared" ca="1" si="2"/>
        <v>0.14311453444449806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166"/>
      <c r="B12" s="269" t="e">
        <f>Divident_all!#REF!</f>
        <v>#REF!</v>
      </c>
      <c r="C12" s="269" t="e">
        <f>Divident_all!#REF!</f>
        <v>#REF!</v>
      </c>
      <c r="D12" s="270" t="e">
        <f>Divident_all!#REF!</f>
        <v>#REF!</v>
      </c>
      <c r="E12" s="271">
        <f ca="1">IFERROR(__xludf.DUMMYFUNCTION("(((H12/GOOGLEFINANCE (""Currency:USDRON""))/D12)+F12)"),0.252494340474575)</f>
        <v>0.25249434047457497</v>
      </c>
      <c r="F12" s="269" t="e">
        <f>Divident_all!#REF!</f>
        <v>#REF!</v>
      </c>
      <c r="G12" s="270">
        <f ca="1">IFERROR(__xludf.DUMMYFUNCTION("H12/GOOGLEFINANCE (""Currency:USDRON"")"),6.67541888253487)</f>
        <v>6.6754188825348697</v>
      </c>
      <c r="H12" s="272">
        <v>30</v>
      </c>
      <c r="I12" s="273" t="e">
        <f t="shared" ref="I12:I26" si="5">D12/C12</f>
        <v>#REF!</v>
      </c>
      <c r="J12" s="270" t="e">
        <f t="shared" ca="1" si="3"/>
        <v>#REF!</v>
      </c>
      <c r="K12" s="319">
        <f ca="1">IFERROR(__xludf.DUMMYFUNCTION("(F12*C12)/100*GOOGLEFINANCE (""Currency:USDRON"")"),0.889309387839599)</f>
        <v>0.88930938783959901</v>
      </c>
      <c r="L12" s="275">
        <f ca="1">IFERROR(__xludf.DUMMYFUNCTION("(((H12/GOOGLEFINANCE (""Currency:USDRON""))/D12)*C12)/100*GOOGLEFINANCE (""Currency:USDRON"")"),0.336204212929334)</f>
        <v>0.336204212929334</v>
      </c>
      <c r="M12" s="537">
        <f t="shared" ca="1" si="2"/>
        <v>0.37805089828869964</v>
      </c>
      <c r="N12" s="277" t="e">
        <f>Divident_all!#REF!</f>
        <v>#REF!</v>
      </c>
      <c r="O12" s="277" t="e">
        <f>Divident_all!#REF!</f>
        <v>#REF!</v>
      </c>
      <c r="P12" s="278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166"/>
      <c r="B13" s="380" t="e">
        <f>Divident_all!#REF!</f>
        <v>#REF!</v>
      </c>
      <c r="C13" s="380" t="e">
        <f>Divident_all!#REF!</f>
        <v>#REF!</v>
      </c>
      <c r="D13" s="381" t="e">
        <f>Divident_all!#REF!</f>
        <v>#REF!</v>
      </c>
      <c r="E13" s="382">
        <f ca="1">IFERROR(__xludf.DUMMYFUNCTION("(((H13/GOOGLEFINANCE (""Currency:USDRON""))/D13)+F13)"),0.288478087872292)</f>
        <v>0.28847808787229201</v>
      </c>
      <c r="F13" s="380" t="e">
        <f>Divident_all!#REF!</f>
        <v>#REF!</v>
      </c>
      <c r="G13" s="381">
        <f ca="1">IFERROR(__xludf.DUMMYFUNCTION("H13/GOOGLEFINANCE (""Currency:USDRON"")"),6.67541888253487)</f>
        <v>6.6754188825348697</v>
      </c>
      <c r="H13" s="94">
        <v>30</v>
      </c>
      <c r="I13" s="383" t="e">
        <f t="shared" si="5"/>
        <v>#REF!</v>
      </c>
      <c r="J13" s="381" t="e">
        <f t="shared" ca="1" si="3"/>
        <v>#REF!</v>
      </c>
      <c r="K13" s="384">
        <f ca="1">IFERROR(__xludf.DUMMYFUNCTION("(F13*C13)/100*GOOGLEFINANCE (""Currency:USDRON"")"),0.64716618552625)</f>
        <v>0.64716618552625005</v>
      </c>
      <c r="L13" s="385">
        <f ca="1">IFERROR(__xludf.DUMMYFUNCTION("(((H13/GOOGLEFINANCE (""Currency:USDRON""))/D13)*C13)/100*GOOGLEFINANCE (""Currency:USDRON"")"),0.308965228320067)</f>
        <v>0.30896522832006701</v>
      </c>
      <c r="M13" s="541">
        <f t="shared" ca="1" si="2"/>
        <v>0.47741250273888869</v>
      </c>
      <c r="N13" s="387" t="e">
        <f>Divident_all!#REF!</f>
        <v>#REF!</v>
      </c>
      <c r="O13" s="387" t="e">
        <f>Divident_all!#REF!</f>
        <v>#REF!</v>
      </c>
      <c r="P13" s="38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166"/>
      <c r="B14" s="389" t="e">
        <f>Divident_all!#REF!</f>
        <v>#REF!</v>
      </c>
      <c r="C14" s="389" t="e">
        <f>Divident_all!#REF!</f>
        <v>#REF!</v>
      </c>
      <c r="D14" s="390" t="e">
        <f>Divident_all!#REF!</f>
        <v>#REF!</v>
      </c>
      <c r="E14" s="391">
        <f ca="1">IFERROR(__xludf.DUMMYFUNCTION("(((H14/GOOGLEFINANCE (""Currency:USDRON""))/D14)+F14)"),0.686600253613918)</f>
        <v>0.68660025361391797</v>
      </c>
      <c r="F14" s="389" t="e">
        <f>Divident_all!#REF!</f>
        <v>#REF!</v>
      </c>
      <c r="G14" s="390">
        <f ca="1">IFERROR(__xludf.DUMMYFUNCTION("H14/GOOGLEFINANCE (""Currency:USDRON"")"),6.67541888253487)</f>
        <v>6.6754188825348697</v>
      </c>
      <c r="H14" s="392">
        <v>30</v>
      </c>
      <c r="I14" s="393" t="e">
        <f t="shared" si="5"/>
        <v>#REF!</v>
      </c>
      <c r="J14" s="390" t="e">
        <f t="shared" ca="1" si="3"/>
        <v>#REF!</v>
      </c>
      <c r="K14" s="384">
        <f ca="1">IFERROR(__xludf.DUMMYFUNCTION("(F14*C14)/100*GOOGLEFINANCE (""Currency:USDRON"")"),1.18729486335849)</f>
        <v>1.1872948633584901</v>
      </c>
      <c r="L14" s="394">
        <f ca="1">IFERROR(__xludf.DUMMYFUNCTION("(((H14/GOOGLEFINANCE (""Currency:USDRON""))/D14)*C14)/100*GOOGLEFINANCE (""Currency:USDRON"")"),0.309245483528161)</f>
        <v>0.309245483528161</v>
      </c>
      <c r="M14" s="541">
        <f t="shared" ca="1" si="2"/>
        <v>0.2604622432656713</v>
      </c>
      <c r="N14" s="395" t="e">
        <f>Divident_all!#REF!</f>
        <v>#REF!</v>
      </c>
      <c r="O14" s="395" t="e">
        <f>Divident_all!#REF!</f>
        <v>#REF!</v>
      </c>
      <c r="P14" s="396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166"/>
      <c r="B15" s="397" t="e">
        <f>Divident_all!#REF!</f>
        <v>#REF!</v>
      </c>
      <c r="C15" s="397" t="e">
        <f>Divident_all!#REF!</f>
        <v>#REF!</v>
      </c>
      <c r="D15" s="398" t="e">
        <f>Divident_all!#REF!</f>
        <v>#REF!</v>
      </c>
      <c r="E15" s="399">
        <f ca="1">IFERROR(__xludf.DUMMYFUNCTION("(((H15/GOOGLEFINANCE (""Currency:USDRON""))/D15)+F15)"),0.400391066096986)</f>
        <v>0.40039106609698599</v>
      </c>
      <c r="F15" s="397" t="e">
        <f>Divident_all!#REF!</f>
        <v>#REF!</v>
      </c>
      <c r="G15" s="398">
        <f ca="1">IFERROR(__xludf.DUMMYFUNCTION("H15/GOOGLEFINANCE (""Currency:USDRON"")"),6.67541888253487)</f>
        <v>6.6754188825348697</v>
      </c>
      <c r="H15" s="400">
        <v>30</v>
      </c>
      <c r="I15" s="401" t="e">
        <f t="shared" si="5"/>
        <v>#REF!</v>
      </c>
      <c r="J15" s="398" t="e">
        <f t="shared" ca="1" si="3"/>
        <v>#REF!</v>
      </c>
      <c r="K15" s="402">
        <f ca="1">IFERROR(__xludf.DUMMYFUNCTION("(E15*C15)/100*GOOGLEFINANCE (""Currency:EURRON"")"),0.819090236008397)</f>
        <v>0.81909023600839703</v>
      </c>
      <c r="L15" s="403">
        <f ca="1">IFERROR(__xludf.DUMMYFUNCTION("(((H15/GOOGLEFINANCE (""Currency:EURRON""))/D15)*C15)/100*GOOGLEFINANCE (""Currency:EURRON"")"),0.298616168973051)</f>
        <v>0.29861616897305099</v>
      </c>
      <c r="M15" s="542">
        <f t="shared" ca="1" si="2"/>
        <v>0.36457053917315857</v>
      </c>
      <c r="N15" s="405" t="e">
        <f>Divident_all!#REF!</f>
        <v>#REF!</v>
      </c>
      <c r="O15" s="405" t="e">
        <f>Divident_all!#REF!</f>
        <v>#REF!</v>
      </c>
      <c r="P15" s="406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166"/>
      <c r="B16" s="397" t="e">
        <f>Divident_all!#REF!</f>
        <v>#REF!</v>
      </c>
      <c r="C16" s="397" t="e">
        <f>Divident_all!#REF!</f>
        <v>#REF!</v>
      </c>
      <c r="D16" s="398" t="e">
        <f>Divident_all!#REF!</f>
        <v>#REF!</v>
      </c>
      <c r="E16" s="399">
        <f ca="1">IFERROR(__xludf.DUMMYFUNCTION("(((H16/GOOGLEFINANCE (""Currency:USDRON""))/D16)+F16)"),0.156922801273464)</f>
        <v>0.156922801273464</v>
      </c>
      <c r="F16" s="397" t="e">
        <f>Divident_all!#REF!</f>
        <v>#REF!</v>
      </c>
      <c r="G16" s="398">
        <f ca="1">IFERROR(__xludf.DUMMYFUNCTION("H16/GOOGLEFINANCE (""Currency:USDRON"")"),5.56284906877906)</f>
        <v>5.5628490687790597</v>
      </c>
      <c r="H16" s="400">
        <v>25</v>
      </c>
      <c r="I16" s="401" t="e">
        <f t="shared" si="5"/>
        <v>#REF!</v>
      </c>
      <c r="J16" s="398" t="e">
        <f t="shared" ca="1" si="3"/>
        <v>#REF!</v>
      </c>
      <c r="K16" s="402">
        <f ca="1">IFERROR(__xludf.DUMMYFUNCTION("(E16*C16)/100*GOOGLEFINANCE (""Currency:EURRON"")"),1.15880745720605)</f>
        <v>1.1588074572060501</v>
      </c>
      <c r="L16" s="403">
        <f ca="1">IFERROR(__xludf.DUMMYFUNCTION("(((H16/GOOGLEFINANCE (""Currency:EURRON""))/D16)*C16)/100*GOOGLEFINANCE (""Currency:EURRON"")"),0.228974565257751)</f>
        <v>0.22897456525775101</v>
      </c>
      <c r="M16" s="542">
        <f t="shared" ca="1" si="2"/>
        <v>0.19759500496296559</v>
      </c>
      <c r="N16" s="405" t="e">
        <f>Divident_all!#REF!</f>
        <v>#REF!</v>
      </c>
      <c r="O16" s="405" t="e">
        <f>Divident_all!#REF!</f>
        <v>#REF!</v>
      </c>
      <c r="P16" s="406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166"/>
      <c r="B17" s="290" t="e">
        <f>Divident_all!#REF!</f>
        <v>#REF!</v>
      </c>
      <c r="C17" s="290" t="e">
        <f>Divident_all!#REF!</f>
        <v>#REF!</v>
      </c>
      <c r="D17" s="291" t="e">
        <f>Divident_all!#REF!</f>
        <v>#REF!</v>
      </c>
      <c r="E17" s="292">
        <f ca="1">IFERROR(__xludf.DUMMYFUNCTION("(((H17/GOOGLEFINANCE (""Currency:USDRON""))/D17)+F17)"),0.522120274243415)</f>
        <v>0.52212027424341501</v>
      </c>
      <c r="F17" s="290" t="e">
        <f>Divident_all!#REF!</f>
        <v>#REF!</v>
      </c>
      <c r="G17" s="291">
        <f ca="1">IFERROR(__xludf.DUMMYFUNCTION("H17/GOOGLEFINANCE (""Currency:USDRON"")"),5.56284906877906)</f>
        <v>5.5628490687790597</v>
      </c>
      <c r="H17" s="293">
        <v>25</v>
      </c>
      <c r="I17" s="294" t="e">
        <f t="shared" si="5"/>
        <v>#REF!</v>
      </c>
      <c r="J17" s="291" t="e">
        <f t="shared" ca="1" si="3"/>
        <v>#REF!</v>
      </c>
      <c r="K17" s="324">
        <f ca="1">IFERROR(__xludf.DUMMYFUNCTION("(F17*C17)/100*GOOGLEFINANCE (""Currency:USDRON"")"),0.551178130502999)</f>
        <v>0.55117813050299902</v>
      </c>
      <c r="L17" s="296">
        <f ca="1">IFERROR(__xludf.DUMMYFUNCTION("(((H17/GOOGLEFINANCE (""Currency:USDRON""))/D17)*C17)/100*GOOGLEFINANCE (""Currency:USDRON"")"),0.223153908574519)</f>
        <v>0.223153908574519</v>
      </c>
      <c r="M17" s="543">
        <f t="shared" ca="1" si="2"/>
        <v>0.40486713137705815</v>
      </c>
      <c r="N17" s="298" t="e">
        <f>Divident_all!#REF!</f>
        <v>#REF!</v>
      </c>
      <c r="O17" s="298" t="e">
        <f>Divident_all!#REF!</f>
        <v>#REF!</v>
      </c>
      <c r="P17" s="299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166"/>
      <c r="B18" s="328" t="e">
        <f>Divident_all!#REF!</f>
        <v>#REF!</v>
      </c>
      <c r="C18" s="328" t="e">
        <f>Divident_all!#REF!</f>
        <v>#REF!</v>
      </c>
      <c r="D18" s="329" t="e">
        <f>Divident_all!#REF!</f>
        <v>#REF!</v>
      </c>
      <c r="E18" s="330">
        <f ca="1">IFERROR(__xludf.DUMMYFUNCTION("(((H18/GOOGLEFINANCE (""Currency:USDRON""))/D18)+F18)"),0.17855878584862)</f>
        <v>0.17855878584862001</v>
      </c>
      <c r="F18" s="328" t="e">
        <f>Divident_all!#REF!</f>
        <v>#REF!</v>
      </c>
      <c r="G18" s="329">
        <f ca="1">IFERROR(__xludf.DUMMYFUNCTION("H18/GOOGLEFINANCE (""Currency:USDRON"")"),5.56284906877906)</f>
        <v>5.5628490687790597</v>
      </c>
      <c r="H18" s="331">
        <v>25</v>
      </c>
      <c r="I18" s="332" t="e">
        <f t="shared" si="5"/>
        <v>#REF!</v>
      </c>
      <c r="J18" s="329" t="e">
        <f t="shared" ca="1" si="3"/>
        <v>#REF!</v>
      </c>
      <c r="K18" s="333">
        <f ca="1">IFERROR(__xludf.DUMMYFUNCTION("(F18*C18)/100*GOOGLEFINANCE (""Currency:USDRON"")"),0.622254883639999)</f>
        <v>0.62225488363999903</v>
      </c>
      <c r="L18" s="334">
        <f ca="1">IFERROR(__xludf.DUMMYFUNCTION("(((H18/GOOGLEFINANCE (""Currency:USDRON""))/D18)*C18)/100*GOOGLEFINANCE (""Currency:USDRON"")"),0.180206155842283)</f>
        <v>0.180206155842283</v>
      </c>
      <c r="M18" s="544">
        <f t="shared" ca="1" si="2"/>
        <v>0.28960183452178406</v>
      </c>
      <c r="N18" s="336" t="e">
        <f>Divident_all!#REF!</f>
        <v>#REF!</v>
      </c>
      <c r="O18" s="336" t="e">
        <f>Divident_all!#REF!</f>
        <v>#REF!</v>
      </c>
      <c r="P18" s="337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166"/>
      <c r="B19" s="320" t="e">
        <f>Divident_all!#REF!</f>
        <v>#REF!</v>
      </c>
      <c r="C19" s="320" t="e">
        <f>Divident_all!#REF!</f>
        <v>#REF!</v>
      </c>
      <c r="D19" s="321" t="e">
        <f>Divident_all!#REF!</f>
        <v>#REF!</v>
      </c>
      <c r="E19" s="322">
        <f ca="1">IFERROR(__xludf.DUMMYFUNCTION("(((H19/GOOGLEFINANCE (""Currency:USDRON""))/D19)+F19)"),0.174932497210441)</f>
        <v>0.17493249721044099</v>
      </c>
      <c r="F19" s="320" t="e">
        <f>Divident_all!#REF!</f>
        <v>#REF!</v>
      </c>
      <c r="G19" s="321">
        <f ca="1">IFERROR(__xludf.DUMMYFUNCTION("H19/GOOGLEFINANCE (""Currency:USDRON"")"),4.45027925502325)</f>
        <v>4.4502792550232497</v>
      </c>
      <c r="H19" s="293">
        <v>20</v>
      </c>
      <c r="I19" s="323" t="e">
        <f t="shared" si="5"/>
        <v>#REF!</v>
      </c>
      <c r="J19" s="321" t="e">
        <f t="shared" ca="1" si="3"/>
        <v>#REF!</v>
      </c>
      <c r="K19" s="324">
        <f ca="1">IFERROR(__xludf.DUMMYFUNCTION("(F19*C19)/100*GOOGLEFINANCE (""Currency:USDRON"")"),0.251850802112)</f>
        <v>0.25185080211200001</v>
      </c>
      <c r="L19" s="325">
        <f ca="1">IFERROR(__xludf.DUMMYFUNCTION("(((H19/GOOGLEFINANCE (""Currency:USDRON""))/D19)*C19)/100*GOOGLEFINANCE (""Currency:USDRON"")"),0.133369624387588)</f>
        <v>0.13336962438758801</v>
      </c>
      <c r="M19" s="540">
        <f t="shared" ca="1" si="2"/>
        <v>0.52955806878183975</v>
      </c>
      <c r="N19" s="326" t="e">
        <f>Divident_all!#REF!</f>
        <v>#REF!</v>
      </c>
      <c r="O19" s="326" t="e">
        <f>Divident_all!#REF!</f>
        <v>#REF!</v>
      </c>
      <c r="P19" s="327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166"/>
      <c r="B20" s="489" t="e">
        <f>Divident_all!#REF!</f>
        <v>#REF!</v>
      </c>
      <c r="C20" s="489" t="e">
        <f>Divident_all!#REF!</f>
        <v>#REF!</v>
      </c>
      <c r="D20" s="490" t="e">
        <f>Divident_all!#REF!</f>
        <v>#REF!</v>
      </c>
      <c r="E20" s="491">
        <f ca="1">IFERROR(__xludf.DUMMYFUNCTION("(((H20/GOOGLEFINANCE (""Currency:USDRON""))/D20)+F20)"),0.102800499877793)</f>
        <v>0.10280049987779299</v>
      </c>
      <c r="F20" s="489" t="e">
        <f>Divident_all!#REF!</f>
        <v>#REF!</v>
      </c>
      <c r="G20" s="490">
        <f ca="1">IFERROR(__xludf.DUMMYFUNCTION("H20/GOOGLEFINANCE (""Currency:USDRON"")"),4.45027925502325)</f>
        <v>4.4502792550232497</v>
      </c>
      <c r="H20" s="492">
        <v>20</v>
      </c>
      <c r="I20" s="493" t="e">
        <f t="shared" si="5"/>
        <v>#REF!</v>
      </c>
      <c r="J20" s="490" t="e">
        <f t="shared" ca="1" si="3"/>
        <v>#REF!</v>
      </c>
      <c r="K20" s="494">
        <f ca="1">IFERROR(__xludf.DUMMYFUNCTION("(F20*C20)/100*GOOGLEFINANCE (""Currency:USDRON"")"),0.686204690762499)</f>
        <v>0.68620469076249901</v>
      </c>
      <c r="L20" s="495">
        <f ca="1">IFERROR(__xludf.DUMMYFUNCTION("(((H20/GOOGLEFINANCE (""Currency:USDRON""))/D20)*C20)/100*GOOGLEFINANCE (""Currency:USDRON"")"),0.122287830613884)</f>
        <v>0.122287830613884</v>
      </c>
      <c r="M20" s="545">
        <f t="shared" ca="1" si="2"/>
        <v>0.17820896921879073</v>
      </c>
      <c r="N20" s="497" t="e">
        <f>Divident_all!#REF!</f>
        <v>#REF!</v>
      </c>
      <c r="O20" s="497" t="e">
        <f>Divident_all!#REF!</f>
        <v>#REF!</v>
      </c>
      <c r="P20" s="498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166"/>
      <c r="B21" s="320" t="e">
        <f>Divident_all!#REF!</f>
        <v>#REF!</v>
      </c>
      <c r="C21" s="320" t="e">
        <f>Divident_all!#REF!</f>
        <v>#REF!</v>
      </c>
      <c r="D21" s="321" t="e">
        <f>Divident_all!#REF!</f>
        <v>#REF!</v>
      </c>
      <c r="E21" s="322">
        <f ca="1">IFERROR(__xludf.DUMMYFUNCTION("(((H21/GOOGLEFINANCE (""Currency:USDRON""))/D21)+F21)"),0.270869915266877)</f>
        <v>0.27086991526687698</v>
      </c>
      <c r="F21" s="320" t="e">
        <f>Divident_all!#REF!</f>
        <v>#REF!</v>
      </c>
      <c r="G21" s="321">
        <f ca="1">IFERROR(__xludf.DUMMYFUNCTION("H21/GOOGLEFINANCE (""Currency:USDRON"")"),4.45027925502325)</f>
        <v>4.4502792550232497</v>
      </c>
      <c r="H21" s="293">
        <v>20</v>
      </c>
      <c r="I21" s="323" t="e">
        <f t="shared" si="5"/>
        <v>#REF!</v>
      </c>
      <c r="J21" s="321" t="e">
        <f t="shared" ca="1" si="3"/>
        <v>#REF!</v>
      </c>
      <c r="K21" s="324">
        <f ca="1">IFERROR(__xludf.DUMMYFUNCTION("(F21*C21)/100*GOOGLEFINANCE (""Currency:USDRON"")"),0.457310987327999)</f>
        <v>0.45731098732799902</v>
      </c>
      <c r="L21" s="325">
        <f ca="1">IFERROR(__xludf.DUMMYFUNCTION("(((H21/GOOGLEFINANCE (""Currency:USDRON""))/D21)*C21)/100*GOOGLEFINANCE (""Currency:USDRON"")"),0.127000926048419)</f>
        <v>0.12700092604841901</v>
      </c>
      <c r="M21" s="540">
        <f t="shared" ca="1" si="2"/>
        <v>0.27771238734163545</v>
      </c>
      <c r="N21" s="326" t="e">
        <f>Divident_all!#REF!</f>
        <v>#REF!</v>
      </c>
      <c r="O21" s="326" t="e">
        <f>Divident_all!#REF!</f>
        <v>#REF!</v>
      </c>
      <c r="P21" s="327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166"/>
      <c r="B22" s="320" t="e">
        <f>Divident_all!#REF!</f>
        <v>#REF!</v>
      </c>
      <c r="C22" s="320" t="e">
        <f>Divident_all!#REF!</f>
        <v>#REF!</v>
      </c>
      <c r="D22" s="321" t="e">
        <f>Divident_all!#REF!</f>
        <v>#REF!</v>
      </c>
      <c r="E22" s="322">
        <f ca="1">IFERROR(__xludf.DUMMYFUNCTION("(((H22/GOOGLEFINANCE (""Currency:USDRON""))/D22)+F22)"),0.149775148046511)</f>
        <v>0.14977514804651099</v>
      </c>
      <c r="F22" s="320" t="e">
        <f>Divident_all!#REF!</f>
        <v>#REF!</v>
      </c>
      <c r="G22" s="321">
        <f ca="1">IFERROR(__xludf.DUMMYFUNCTION("H22/GOOGLEFINANCE (""Currency:USDRON"")"),4.45027925502325)</f>
        <v>4.4502792550232497</v>
      </c>
      <c r="H22" s="293">
        <v>20</v>
      </c>
      <c r="I22" s="323" t="e">
        <f t="shared" si="5"/>
        <v>#REF!</v>
      </c>
      <c r="J22" s="321" t="e">
        <f t="shared" ca="1" si="3"/>
        <v>#REF!</v>
      </c>
      <c r="K22" s="324">
        <f ca="1">IFERROR(__xludf.DUMMYFUNCTION("(F22*C22)/100*GOOGLEFINANCE (""Currency:USDRON"")"),0.508593369920596)</f>
        <v>0.50859336992059601</v>
      </c>
      <c r="L22" s="325">
        <f ca="1">IFERROR(__xludf.DUMMYFUNCTION("(((H22/GOOGLEFINANCE (""Currency:USDRON""))/D22)*C22)/100*GOOGLEFINANCE (""Currency:USDRON"")"),0.124596026490066)</f>
        <v>0.124596026490066</v>
      </c>
      <c r="M22" s="540">
        <f t="shared" ca="1" si="2"/>
        <v>0.24498161765167822</v>
      </c>
      <c r="N22" s="326" t="e">
        <f>Divident_all!#REF!</f>
        <v>#REF!</v>
      </c>
      <c r="O22" s="326" t="e">
        <f>Divident_all!#REF!</f>
        <v>#REF!</v>
      </c>
      <c r="P22" s="327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166"/>
      <c r="B23" s="407" t="e">
        <f>Divident_all!#REF!</f>
        <v>#REF!</v>
      </c>
      <c r="C23" s="407" t="e">
        <f>Divident_all!#REF!</f>
        <v>#REF!</v>
      </c>
      <c r="D23" s="408" t="e">
        <f>Divident_all!#REF!</f>
        <v>#REF!</v>
      </c>
      <c r="E23" s="409">
        <f ca="1">IFERROR(__xludf.DUMMYFUNCTION("(((H23/GOOGLEFINANCE (""Currency:USDRON""))/D23)+F23)"),0.0836471434714886)</f>
        <v>8.3647143471488605E-2</v>
      </c>
      <c r="F23" s="407" t="e">
        <f>Divident_all!#REF!</f>
        <v>#REF!</v>
      </c>
      <c r="G23" s="408">
        <f ca="1">IFERROR(__xludf.DUMMYFUNCTION("H23/GOOGLEFINANCE (""Currency:USDRON"")"),4.45027925502325)</f>
        <v>4.4502792550232497</v>
      </c>
      <c r="H23" s="410">
        <v>20</v>
      </c>
      <c r="I23" s="411" t="e">
        <f t="shared" si="5"/>
        <v>#REF!</v>
      </c>
      <c r="J23" s="408" t="e">
        <f t="shared" ca="1" si="3"/>
        <v>#REF!</v>
      </c>
      <c r="K23" s="412">
        <f ca="1">IFERROR(__xludf.DUMMYFUNCTION("(F23*C23)/100*GOOGLEFINANCE (""Currency:USDRON"")"),0.3802654671816)</f>
        <v>0.38026546718159998</v>
      </c>
      <c r="L23" s="413">
        <f ca="1">IFERROR(__xludf.DUMMYFUNCTION("(((H23/GOOGLEFINANCE (""Currency:USDRON""))/D23)*C23)/100*GOOGLEFINANCE (""Currency:USDRON"")"),0.115947121085686)</f>
        <v>0.115947121085686</v>
      </c>
      <c r="M23" s="546">
        <f t="shared" ca="1" si="2"/>
        <v>0.3049109926942542</v>
      </c>
      <c r="N23" s="415" t="e">
        <f>Divident_all!#REF!</f>
        <v>#REF!</v>
      </c>
      <c r="O23" s="415" t="e">
        <f>Divident_all!#REF!</f>
        <v>#REF!</v>
      </c>
      <c r="P23" s="416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166"/>
      <c r="B24" s="407" t="e">
        <f>Divident_all!#REF!</f>
        <v>#REF!</v>
      </c>
      <c r="C24" s="407" t="e">
        <f>Divident_all!#REF!</f>
        <v>#REF!</v>
      </c>
      <c r="D24" s="408" t="e">
        <f>Divident_all!#REF!</f>
        <v>#REF!</v>
      </c>
      <c r="E24" s="409">
        <f ca="1">IFERROR(__xludf.DUMMYFUNCTION("(((H24/GOOGLEFINANCE (""Currency:USDRON""))/D24)+F24)"),0.0785448405893385)</f>
        <v>7.8544840589338499E-2</v>
      </c>
      <c r="F24" s="407" t="e">
        <f>Divident_all!#REF!</f>
        <v>#REF!</v>
      </c>
      <c r="G24" s="408">
        <f ca="1">IFERROR(__xludf.DUMMYFUNCTION("H24/GOOGLEFINANCE (""Currency:USDRON"")"),4.45027925502325)</f>
        <v>4.4502792550232497</v>
      </c>
      <c r="H24" s="410">
        <v>20</v>
      </c>
      <c r="I24" s="411" t="e">
        <f t="shared" si="5"/>
        <v>#REF!</v>
      </c>
      <c r="J24" s="408" t="e">
        <f t="shared" ca="1" si="3"/>
        <v>#REF!</v>
      </c>
      <c r="K24" s="412">
        <f ca="1">IFERROR(__xludf.DUMMYFUNCTION("(F24*C24)/100*GOOGLEFINANCE (""Currency:USDRON"")"),0.316289904371999)</f>
        <v>0.316289904371999</v>
      </c>
      <c r="L24" s="413">
        <f ca="1">IFERROR(__xludf.DUMMYFUNCTION("(((H24/GOOGLEFINANCE (""Currency:USDRON""))/D24)*C24)/100*GOOGLEFINANCE (""Currency:USDRON"")"),0.107296137339055)</f>
        <v>0.10729613733905501</v>
      </c>
      <c r="M24" s="546">
        <f t="shared" ca="1" si="2"/>
        <v>0.33923351917315853</v>
      </c>
      <c r="N24" s="415" t="e">
        <f>Divident_all!#REF!</f>
        <v>#REF!</v>
      </c>
      <c r="O24" s="415" t="e">
        <f>Divident_all!#REF!</f>
        <v>#REF!</v>
      </c>
      <c r="P24" s="416" t="e">
        <f>Divident_all!#REF!</f>
        <v>#REF!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166"/>
      <c r="B25" s="328" t="e">
        <f>Divident_all!#REF!</f>
        <v>#REF!</v>
      </c>
      <c r="C25" s="328" t="e">
        <f>Divident_all!#REF!</f>
        <v>#REF!</v>
      </c>
      <c r="D25" s="329" t="e">
        <f>Divident_all!#REF!</f>
        <v>#REF!</v>
      </c>
      <c r="E25" s="330">
        <f ca="1">IFERROR(__xludf.DUMMYFUNCTION("(((H25/GOOGLEFINANCE (""Currency:USDRON""))/D25)+F25)"),0.185229602690963)</f>
        <v>0.185229602690963</v>
      </c>
      <c r="F25" s="328" t="e">
        <f>Divident_all!#REF!</f>
        <v>#REF!</v>
      </c>
      <c r="G25" s="329">
        <f ca="1">IFERROR(__xludf.DUMMYFUNCTION("H25/GOOGLEFINANCE (""Currency:USDRON"")"),4.45027925502325)</f>
        <v>4.4502792550232497</v>
      </c>
      <c r="H25" s="331">
        <v>20</v>
      </c>
      <c r="I25" s="332" t="e">
        <f t="shared" si="5"/>
        <v>#REF!</v>
      </c>
      <c r="J25" s="329" t="e">
        <f t="shared" ca="1" si="3"/>
        <v>#REF!</v>
      </c>
      <c r="K25" s="333">
        <f ca="1">IFERROR(__xludf.DUMMYFUNCTION("(F25*C25)/100*GOOGLEFINANCE (""Currency:USDRON"")"),0.419472413532899)</f>
        <v>0.41947241353289899</v>
      </c>
      <c r="L25" s="334">
        <f ca="1">IFERROR(__xludf.DUMMYFUNCTION("(((H25/GOOGLEFINANCE (""Currency:USDRON""))/D25)*C25)/100*GOOGLEFINANCE (""Currency:USDRON"")"),0.104965011662779)</f>
        <v>0.104965011662779</v>
      </c>
      <c r="M25" s="544">
        <f t="shared" ca="1" si="2"/>
        <v>0.25023102420189702</v>
      </c>
      <c r="N25" s="336" t="e">
        <f>Divident_all!#REF!</f>
        <v>#REF!</v>
      </c>
      <c r="O25" s="336" t="e">
        <f>Divident_all!#REF!</f>
        <v>#REF!</v>
      </c>
      <c r="P25" s="337" t="e">
        <f>Divident_all!#REF!</f>
        <v>#REF!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  <row r="26" spans="1:33" ht="12.75">
      <c r="A26" s="166"/>
      <c r="B26" s="407" t="e">
        <f>Divident_all!#REF!</f>
        <v>#REF!</v>
      </c>
      <c r="C26" s="407" t="e">
        <f>Divident_all!#REF!</f>
        <v>#REF!</v>
      </c>
      <c r="D26" s="408" t="e">
        <f>Divident_all!#REF!</f>
        <v>#REF!</v>
      </c>
      <c r="E26" s="409">
        <f ca="1">IFERROR(__xludf.DUMMYFUNCTION("(((H26/GOOGLEFINANCE (""Currency:USDRON""))/D26)+F26)"),0.0388291462729644)</f>
        <v>3.8829146272964403E-2</v>
      </c>
      <c r="F26" s="407" t="e">
        <f>Divident_all!#REF!</f>
        <v>#REF!</v>
      </c>
      <c r="G26" s="408">
        <f ca="1">IFERROR(__xludf.DUMMYFUNCTION("H26/GOOGLEFINANCE (""Currency:USDRON"")"),3.33770944126743)</f>
        <v>3.33770944126743</v>
      </c>
      <c r="H26" s="410">
        <v>15</v>
      </c>
      <c r="I26" s="411" t="e">
        <f t="shared" si="5"/>
        <v>#REF!</v>
      </c>
      <c r="J26" s="408" t="e">
        <f t="shared" ca="1" si="3"/>
        <v>#REF!</v>
      </c>
      <c r="K26" s="412">
        <f ca="1">IFERROR(__xludf.DUMMYFUNCTION("(F26*C26)/100*GOOGLEFINANCE (""Currency:USDRON"")"),0.169774177462499)</f>
        <v>0.16977417746249901</v>
      </c>
      <c r="L26" s="413">
        <f ca="1">IFERROR(__xludf.DUMMYFUNCTION("(((H26/GOOGLEFINANCE (""Currency:USDRON""))/D26)*C26)/100*GOOGLEFINANCE (""Currency:USDRON"")"),0.0483534053691621)</f>
        <v>4.8353405369162099E-2</v>
      </c>
      <c r="M26" s="546">
        <f t="shared" ca="1" si="2"/>
        <v>0.28481012891281871</v>
      </c>
      <c r="N26" s="415" t="e">
        <f>Divident_all!#REF!</f>
        <v>#REF!</v>
      </c>
      <c r="O26" s="415" t="e">
        <f>Divident_all!#REF!</f>
        <v>#REF!</v>
      </c>
      <c r="P26" s="416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9" spans="1:33" ht="12.75">
      <c r="A29" s="166"/>
      <c r="B29" s="365"/>
      <c r="C29" s="365"/>
      <c r="D29" s="366"/>
      <c r="E29" s="367"/>
      <c r="F29" s="365"/>
      <c r="G29" s="366"/>
      <c r="H29" s="365"/>
      <c r="I29" s="368"/>
      <c r="J29" s="366"/>
      <c r="K29" s="369"/>
      <c r="L29" s="369"/>
      <c r="M29" s="369"/>
      <c r="N29" s="370"/>
      <c r="O29" s="370"/>
      <c r="P29" s="371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</row>
    <row r="30" spans="1:33" ht="12.75">
      <c r="A30" s="166"/>
      <c r="B30" s="365"/>
      <c r="C30" s="365"/>
      <c r="D30" s="366"/>
      <c r="E30" s="367"/>
      <c r="F30" s="365"/>
      <c r="G30" s="366"/>
      <c r="H30" s="365"/>
      <c r="I30" s="368"/>
      <c r="J30" s="366"/>
      <c r="K30" s="369"/>
      <c r="L30" s="369"/>
      <c r="M30" s="369"/>
      <c r="N30" s="370"/>
      <c r="O30" s="370"/>
      <c r="P30" s="371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D1007"/>
  <sheetViews>
    <sheetView workbookViewId="0"/>
  </sheetViews>
  <sheetFormatPr defaultColWidth="12.5703125" defaultRowHeight="15.75" customHeight="1"/>
  <cols>
    <col min="4" max="4" width="16.7109375" customWidth="1"/>
  </cols>
  <sheetData>
    <row r="1" spans="1:30" ht="12.75">
      <c r="A1" s="417">
        <v>2022</v>
      </c>
      <c r="B1" s="418">
        <f ca="1">SUM(D33,H33,L33,P33)</f>
        <v>71.271005511373104</v>
      </c>
      <c r="C1" s="419">
        <f>SUM(D31,H31,L31,P31)</f>
        <v>36.81</v>
      </c>
      <c r="E1" s="420">
        <f>(Divident_all!B2)</f>
        <v>0</v>
      </c>
    </row>
    <row r="2" spans="1:30" ht="12.75">
      <c r="A2" s="421" t="s">
        <v>9</v>
      </c>
      <c r="B2" s="422"/>
      <c r="C2" s="422"/>
      <c r="D2" s="423"/>
      <c r="E2" s="421" t="s">
        <v>10</v>
      </c>
      <c r="F2" s="422"/>
      <c r="G2" s="422"/>
      <c r="H2" s="423"/>
      <c r="I2" s="421" t="s">
        <v>11</v>
      </c>
      <c r="J2" s="422"/>
      <c r="K2" s="422"/>
      <c r="L2" s="423"/>
      <c r="M2" s="421" t="s">
        <v>12</v>
      </c>
      <c r="N2" s="422"/>
      <c r="O2" s="422"/>
      <c r="P2" s="423"/>
    </row>
    <row r="3" spans="1:30" ht="12.75">
      <c r="A3" s="428" t="s">
        <v>34</v>
      </c>
      <c r="B3" s="429" t="s">
        <v>194</v>
      </c>
      <c r="C3" s="429" t="s">
        <v>120</v>
      </c>
      <c r="D3" s="46"/>
      <c r="E3" s="428" t="s">
        <v>34</v>
      </c>
      <c r="F3" s="428" t="s">
        <v>194</v>
      </c>
      <c r="G3" s="429" t="s">
        <v>120</v>
      </c>
      <c r="H3" s="46"/>
      <c r="I3" s="428" t="s">
        <v>34</v>
      </c>
      <c r="J3" s="428" t="s">
        <v>194</v>
      </c>
      <c r="K3" s="429" t="s">
        <v>120</v>
      </c>
      <c r="L3" s="46"/>
      <c r="M3" s="428" t="s">
        <v>34</v>
      </c>
      <c r="N3" s="428" t="s">
        <v>194</v>
      </c>
      <c r="O3" s="429" t="s">
        <v>120</v>
      </c>
      <c r="P3" s="46"/>
    </row>
    <row r="4" spans="1:30" ht="12.75">
      <c r="A4" s="428" t="s">
        <v>208</v>
      </c>
      <c r="B4" s="435">
        <v>2.79</v>
      </c>
      <c r="C4" s="435">
        <v>2.79</v>
      </c>
      <c r="D4" s="46"/>
      <c r="E4" s="433" t="e">
        <f>Divident_all!#REF!</f>
        <v>#REF!</v>
      </c>
      <c r="F4" s="434">
        <f ca="1">IFERROR(__xludf.DUMMYFUNCTION("Divident_all!L9*GOOGLEFINANCE (""Currency:USDRON"")"),0.645408756485999)</f>
        <v>0.64540875648599905</v>
      </c>
      <c r="G4" s="435">
        <v>0.38</v>
      </c>
      <c r="H4" s="46"/>
      <c r="I4" s="433" t="e">
        <f>Divident_all!#REF!</f>
        <v>#REF!</v>
      </c>
      <c r="J4" s="434">
        <f ca="1">IFERROR(__xludf.DUMMYFUNCTION("Divident_all!L58*GOOGLEFINANCE (""Currency:USDRON"")"),1.1500305097086)</f>
        <v>1.1500305097086001</v>
      </c>
      <c r="K4" s="435">
        <v>0.39</v>
      </c>
      <c r="L4" s="46"/>
      <c r="M4" s="433" t="e">
        <f>Divident_all!#REF!</f>
        <v>#REF!</v>
      </c>
      <c r="N4" s="434">
        <f ca="1">IFERROR(__xludf.DUMMYFUNCTION("Divident_all!L55*GOOGLEFINANCE (""Currency:USDRON"")"),0.3952231217883)</f>
        <v>0.39522312178829999</v>
      </c>
      <c r="O4" s="435">
        <v>0.22</v>
      </c>
      <c r="P4" s="46"/>
    </row>
    <row r="5" spans="1:30" ht="12.75">
      <c r="A5" s="433" t="e">
        <f>Divident_all!#REF!</f>
        <v>#REF!</v>
      </c>
      <c r="B5" s="434">
        <f ca="1">IFERROR(__xludf.DUMMYFUNCTION("Divident_all!L33*GOOGLEFINANCE (""Currency:USDRON"")"),0.195675402171014)</f>
        <v>0.19567540217101401</v>
      </c>
      <c r="C5" s="435">
        <v>0.11</v>
      </c>
      <c r="D5" s="46"/>
      <c r="E5" s="433" t="e">
        <f>Divident_all!#REF!</f>
        <v>#REF!</v>
      </c>
      <c r="F5" s="434">
        <f ca="1">IFERROR(__xludf.DUMMYFUNCTION("Divident_all!L50*GOOGLEFINANCE (""Currency:USDRON"")"),0.268266734877913)</f>
        <v>0.26826673487791303</v>
      </c>
      <c r="G5" s="435">
        <v>0.16</v>
      </c>
      <c r="H5" s="46"/>
      <c r="I5" s="433" t="e">
        <f>Divident_all!#REF!</f>
        <v>#REF!</v>
      </c>
      <c r="J5" s="434">
        <f ca="1">IFERROR(__xludf.DUMMYFUNCTION("Divident_all!L57*GOOGLEFINANCE (""Currency:USDRON"")"),1.39330241422514)</f>
        <v>1.39330241422514</v>
      </c>
      <c r="K5" s="435">
        <v>0.53</v>
      </c>
      <c r="L5" s="46"/>
      <c r="M5" s="433" t="e">
        <f>Divident_all!#REF!</f>
        <v>#REF!</v>
      </c>
      <c r="N5" s="434">
        <f ca="1">IFERROR(__xludf.DUMMYFUNCTION("Divident_all!L54*GOOGLEFINANCE (""Currency:USDRON"")"),0.360788390568449)</f>
        <v>0.36078839056844902</v>
      </c>
      <c r="O5" s="435">
        <v>0.16</v>
      </c>
      <c r="P5" s="46"/>
    </row>
    <row r="6" spans="1:30" ht="12.75">
      <c r="A6" s="433" t="e">
        <f>Divident_all!#REF!</f>
        <v>#REF!</v>
      </c>
      <c r="B6" s="434">
        <f ca="1">IFERROR(__xludf.DUMMYFUNCTION("Divident_all!L4*GOOGLEFINANCE (""Currency:USDRON"")"),0.53949673681488)</f>
        <v>0.53949673681487997</v>
      </c>
      <c r="C6" s="435">
        <v>0.37</v>
      </c>
      <c r="D6" s="46"/>
      <c r="E6" s="433" t="e">
        <f>Divident_all!#REF!</f>
        <v>#REF!</v>
      </c>
      <c r="F6" s="434">
        <f ca="1">IFERROR(__xludf.DUMMYFUNCTION("Divident_all!L43*GOOGLEFINANCE (""Currency:USDRON"")"),0.800378449055639)</f>
        <v>0.80037844905563904</v>
      </c>
      <c r="G6" s="435">
        <v>0.34</v>
      </c>
      <c r="H6" s="46"/>
      <c r="I6" s="433" t="e">
        <f>Divident_all!#REF!</f>
        <v>#REF!</v>
      </c>
      <c r="J6" s="434">
        <f ca="1">IFERROR(__xludf.DUMMYFUNCTION("Divident_all!L11*GOOGLEFINANCE (""Currency:USDRON"")"),1.12867122986279)</f>
        <v>1.1286712298627899</v>
      </c>
      <c r="K6" s="435">
        <v>0.36</v>
      </c>
      <c r="L6" s="46"/>
      <c r="M6" s="433" t="e">
        <f>Divident_all!#REF!</f>
        <v>#REF!</v>
      </c>
      <c r="N6" s="434">
        <f ca="1">IFERROR(__xludf.DUMMYFUNCTION("Divident_all!L59*GOOGLEFINANCE (""Currency:USDRON"")"),0.580684171017599)</f>
        <v>0.58068417101759895</v>
      </c>
      <c r="O6" s="435">
        <v>0.18</v>
      </c>
      <c r="P6" s="46"/>
    </row>
    <row r="7" spans="1:30" ht="12.75">
      <c r="A7" s="433" t="e">
        <f>Divident_all!#REF!</f>
        <v>#REF!</v>
      </c>
      <c r="B7" s="434">
        <f ca="1">IFERROR(__xludf.DUMMYFUNCTION("Divident_all!L49*GOOGLEFINANCE (""Currency:USDRON"")"),0.32051741436)</f>
        <v>0.32051741435999997</v>
      </c>
      <c r="C7" s="435">
        <v>0.13</v>
      </c>
      <c r="D7" s="46"/>
      <c r="E7" s="433" t="e">
        <f>Divident_all!#REF!</f>
        <v>#REF!</v>
      </c>
      <c r="F7" s="434">
        <f ca="1">IFERROR(__xludf.DUMMYFUNCTION("Divident_all!L10*GOOGLEFINANCE (""Currency:USDRON"")"),2.07630351052019)</f>
        <v>2.0763035105201899</v>
      </c>
      <c r="G7" s="435">
        <v>0.67</v>
      </c>
      <c r="H7" s="46"/>
      <c r="I7" s="433" t="e">
        <f>Divident_all!#REF!</f>
        <v>#REF!</v>
      </c>
      <c r="J7" s="434">
        <f ca="1">IFERROR(__xludf.DUMMYFUNCTION("Divident_all!L52*GOOGLEFINANCE (""Currency:USDRON"")"),0.04849300990638)</f>
        <v>4.8493009906380002E-2</v>
      </c>
      <c r="K7" s="435">
        <v>0.02</v>
      </c>
      <c r="L7" s="46"/>
      <c r="M7" s="433" t="e">
        <f>Divident_all!#REF!</f>
        <v>#REF!</v>
      </c>
      <c r="N7" s="434">
        <f ca="1">IFERROR(__xludf.DUMMYFUNCTION("Divident_all!L51*GOOGLEFINANCE (""Currency:USDRON"")"),0.177436408537439)</f>
        <v>0.177436408537439</v>
      </c>
      <c r="O7" s="435">
        <v>0.13</v>
      </c>
      <c r="P7" s="46"/>
    </row>
    <row r="8" spans="1:30" ht="12.75">
      <c r="A8" s="433" t="str">
        <f>Divident_all!B3</f>
        <v>AMD</v>
      </c>
      <c r="B8" s="434">
        <f ca="1">IFERROR(__xludf.DUMMYFUNCTION("Divident_all!L3*GOOGLEFINANCE (""Currency:USDRON"")"),2.54860214383124)</f>
        <v>2.5486021438312401</v>
      </c>
      <c r="C8" s="435">
        <v>0.64</v>
      </c>
      <c r="D8" s="46"/>
      <c r="E8" s="433" t="e">
        <f>Divident_all!#REF!</f>
        <v>#REF!</v>
      </c>
      <c r="F8" s="434">
        <f ca="1">IFERROR(__xludf.DUMMYFUNCTION("Divident_all!L47*GOOGLEFINANCE (""Currency:USDRON"")"),3.35454939892799)</f>
        <v>3.3545493989279902</v>
      </c>
      <c r="G8" s="435">
        <v>1.56</v>
      </c>
      <c r="H8" s="46"/>
      <c r="I8" s="433" t="e">
        <f>Divident_all!#REF!</f>
        <v>#REF!</v>
      </c>
      <c r="J8" s="434">
        <f ca="1">IFERROR(__xludf.DUMMYFUNCTION("Divident_all!L37*GOOGLEFINANCE (""Currency:USDRON"")"),0.34223892046344)</f>
        <v>0.34223892046344001</v>
      </c>
      <c r="K8" s="435">
        <v>0.17</v>
      </c>
      <c r="L8" s="46"/>
      <c r="M8" s="433" t="e">
        <f>Divident_all!#REF!</f>
        <v>#REF!</v>
      </c>
      <c r="N8" s="434">
        <f ca="1">IFERROR(__xludf.DUMMYFUNCTION("Divident_all!L53*GOOGLEFINANCE (""Currency:USDRON"")"),0.775402322473349)</f>
        <v>0.77540232247334895</v>
      </c>
      <c r="O8" s="435">
        <v>0.21</v>
      </c>
      <c r="P8" s="46"/>
    </row>
    <row r="9" spans="1:30" ht="12.75">
      <c r="A9" s="433" t="e">
        <f>Divident_all!#REF!</f>
        <v>#REF!</v>
      </c>
      <c r="B9" s="434">
        <f ca="1">IFERROR(__xludf.DUMMYFUNCTION("Divident_all!L26*GOOGLEFINANCE (""Currency:USDRON"")"),1.30909853295702)</f>
        <v>1.3090985329570199</v>
      </c>
      <c r="C9" s="435">
        <v>0.99</v>
      </c>
      <c r="D9" s="46"/>
      <c r="E9" s="433" t="e">
        <f>Divident_all!#REF!</f>
        <v>#REF!</v>
      </c>
      <c r="F9" s="434">
        <f ca="1">IFERROR(__xludf.DUMMYFUNCTION("Divident_all!L40*GOOGLEFINANCE (""Currency:USDRON"")"),2.02117396112774)</f>
        <v>2.0211739611277402</v>
      </c>
      <c r="G9" s="435">
        <v>0.19</v>
      </c>
      <c r="H9" s="46"/>
      <c r="I9" s="433" t="e">
        <f>Divident_all!#REF!</f>
        <v>#REF!</v>
      </c>
      <c r="J9" s="434">
        <f ca="1">IFERROR(__xludf.DUMMYFUNCTION("Divident_all!L21*GOOGLEFINANCE (""Currency:USDRON"")"),0.7290729264546)</f>
        <v>0.72907292645459998</v>
      </c>
      <c r="K9" s="435">
        <v>0.35</v>
      </c>
      <c r="L9" s="46"/>
      <c r="M9" s="433" t="e">
        <f>Divident_all!#REF!</f>
        <v>#REF!</v>
      </c>
      <c r="N9" s="434">
        <f ca="1">IFERROR(__xludf.DUMMYFUNCTION("Divident_all!L36*GOOGLEFINANCE (""Currency:USDRON"")"),0.254500574704739)</f>
        <v>0.25450057470473902</v>
      </c>
      <c r="O9" s="435">
        <v>0.08</v>
      </c>
      <c r="P9" s="46"/>
    </row>
    <row r="10" spans="1:30" ht="12.75">
      <c r="A10" s="433" t="e">
        <f>Divident_all!#REF!</f>
        <v>#REF!</v>
      </c>
      <c r="B10" s="434">
        <f ca="1">IFERROR(__xludf.DUMMYFUNCTION("Divident_all!L20*GOOGLEFINANCE (""Currency:USDRON"")"),0.360346285727999)</f>
        <v>0.36034628572799898</v>
      </c>
      <c r="C10" s="435">
        <v>1.42</v>
      </c>
      <c r="E10" s="433" t="e">
        <f>Divident_all!#REF!</f>
        <v>#REF!</v>
      </c>
      <c r="F10" s="434">
        <f ca="1">IFERROR(__xludf.DUMMYFUNCTION("Divident_all!L44*GOOGLEFINANCE (""Currency:USDRON"")"),0.7916458986306)</f>
        <v>0.79164589863059998</v>
      </c>
      <c r="G10" s="435">
        <v>0.15</v>
      </c>
      <c r="I10" s="433" t="e">
        <f>Divident_all!#REF!</f>
        <v>#REF!</v>
      </c>
      <c r="J10" s="434">
        <f ca="1">IFERROR(__xludf.DUMMYFUNCTION("Divident_all!L56*GOOGLEFINANCE (""Currency:USDRON"")"),0.733284937190519)</f>
        <v>0.73328493719051902</v>
      </c>
      <c r="K10" s="435">
        <v>0.33</v>
      </c>
      <c r="M10" s="433" t="e">
        <f>Divident_all!#REF!</f>
        <v>#REF!</v>
      </c>
      <c r="N10" s="434">
        <f ca="1">IFERROR(__xludf.DUMMYFUNCTION("Divident_all!L33*GOOGLEFINANCE (""Currency:USDRON"")"),0.195675402171014)</f>
        <v>0.19567540217101401</v>
      </c>
      <c r="O10" s="435">
        <v>0.14000000000000001</v>
      </c>
      <c r="P10" s="46"/>
    </row>
    <row r="11" spans="1:30" ht="12.75">
      <c r="A11" s="433" t="e">
        <f>Divident_all!#REF!</f>
        <v>#REF!</v>
      </c>
      <c r="B11" s="434">
        <f ca="1">IFERROR(__xludf.DUMMYFUNCTION("Divident_all!L14*GOOGLEFINANCE (""Currency:USDRON"")"),0.3934325375253)</f>
        <v>0.3934325375253</v>
      </c>
      <c r="C11" s="435">
        <v>0.23</v>
      </c>
      <c r="E11" s="433" t="e">
        <f>Divident_all!#REF!</f>
        <v>#REF!</v>
      </c>
      <c r="F11" s="434">
        <f ca="1">IFERROR(__xludf.DUMMYFUNCTION("Divident_all!L28*GOOGLEFINANCE (""Currency:USDRON"")"),0.560029395275999)</f>
        <v>0.56002939527599904</v>
      </c>
      <c r="G11" s="435">
        <v>0.24</v>
      </c>
      <c r="I11" s="433" t="e">
        <f>Divident_all!#REF!</f>
        <v>#REF!</v>
      </c>
      <c r="J11" s="434">
        <f ca="1">IFERROR(__xludf.DUMMYFUNCTION("Divident_all!L15*GOOGLEFINANCE (""Currency:USDRON"")"),0.4115798885952)</f>
        <v>0.41157988859520001</v>
      </c>
      <c r="K11" s="435">
        <v>0.2</v>
      </c>
      <c r="M11" s="433" t="e">
        <f>Divident_all!#REF!</f>
        <v>#REF!</v>
      </c>
      <c r="N11" s="434">
        <f ca="1">IFERROR(__xludf.DUMMYFUNCTION("Divident_all!L40*GOOGLEFINANCE (""Currency:USDRON"")"),2.02117396112774)</f>
        <v>2.0211739611277402</v>
      </c>
      <c r="O11" s="435">
        <v>0.56000000000000005</v>
      </c>
      <c r="P11" s="46"/>
    </row>
    <row r="12" spans="1:30" ht="12.75">
      <c r="A12" s="433" t="e">
        <f>Divident_all!#REF!</f>
        <v>#REF!</v>
      </c>
      <c r="B12" s="434">
        <f ca="1">IFERROR(__xludf.DUMMYFUNCTION("Divident_all!L40*GOOGLEFINANCE (""Currency:USDRON"")"),2.02117396112774)</f>
        <v>2.0211739611277402</v>
      </c>
      <c r="C12" s="435">
        <v>0.05</v>
      </c>
      <c r="E12" s="433" t="e">
        <f>Divident_all!#REF!</f>
        <v>#REF!</v>
      </c>
      <c r="F12" s="434">
        <f ca="1">IFERROR(__xludf.DUMMYFUNCTION("GOOGLEFINANCE (""Currency:USDRON"")*Divident_all!L12"),0.938418598178099)</f>
        <v>0.93841859817809903</v>
      </c>
      <c r="G12" s="435">
        <v>0.37</v>
      </c>
      <c r="I12" s="433" t="e">
        <f>Divident_all!#REF!</f>
        <v>#REF!</v>
      </c>
      <c r="J12" s="434">
        <f ca="1">IFERROR(__xludf.DUMMYFUNCTION("Divident_all!L40*GOOGLEFINANCE (""Currency:USDRON"")"),2.02117396112774)</f>
        <v>2.0211739611277402</v>
      </c>
      <c r="K12" s="435">
        <v>0.39</v>
      </c>
      <c r="M12" s="433" t="e">
        <f>Divident_all!#REF!</f>
        <v>#REF!</v>
      </c>
      <c r="N12" s="434">
        <f ca="1">IFERROR(__xludf.DUMMYFUNCTION("Divident_all!L9*GOOGLEFINANCE (""Currency:USDRON"")"),0.645408756485999)</f>
        <v>0.64540875648599905</v>
      </c>
      <c r="O12" s="435">
        <v>0.47</v>
      </c>
      <c r="P12" s="46"/>
    </row>
    <row r="13" spans="1:30" ht="12.75">
      <c r="A13" s="433" t="e">
        <f>Divident_all!#REF!</f>
        <v>#REF!</v>
      </c>
      <c r="B13" s="434">
        <f ca="1">IFERROR(__xludf.DUMMYFUNCTION("Divident_all!L51*GOOGLEFINANCE (""Currency:USDRON"")"),0.177436408537439)</f>
        <v>0.177436408537439</v>
      </c>
      <c r="C13" s="434">
        <v>0</v>
      </c>
      <c r="E13" s="433" t="e">
        <f>Divident_all!#REF!</f>
        <v>#REF!</v>
      </c>
      <c r="F13" s="434">
        <f ca="1">IFERROR(__xludf.DUMMYFUNCTION("GOOGLEFINANCE (""Currency:USDRON"")*Divident_all!L31"),0.377525172179609)</f>
        <v>0.37752517217960901</v>
      </c>
      <c r="G13" s="435">
        <v>0.13</v>
      </c>
      <c r="I13" s="433" t="e">
        <f>Divident_all!#REF!</f>
        <v>#REF!</v>
      </c>
      <c r="J13" s="434">
        <f ca="1">IFERROR(__xludf.DUMMYFUNCTION("Divident_all!L29*GOOGLEFINANCE (""Currency:USDRON"")"),1.43544875139899)</f>
        <v>1.43544875139899</v>
      </c>
      <c r="K13" s="435">
        <v>0.51</v>
      </c>
      <c r="M13" s="433" t="e">
        <f>Divident_all!#REF!</f>
        <v>#REF!</v>
      </c>
      <c r="N13" s="434">
        <f ca="1">IFERROR(__xludf.DUMMYFUNCTION("Divident_all!L4*GOOGLEFINANCE (""Currency:USDRON"")"),0.53949673681488)</f>
        <v>0.53949673681487997</v>
      </c>
      <c r="O13" s="435">
        <v>0.45</v>
      </c>
      <c r="P13" s="46"/>
      <c r="AD13" s="2" t="s">
        <v>209</v>
      </c>
    </row>
    <row r="14" spans="1:30" ht="12.75">
      <c r="A14" s="433" t="e">
        <f>Divident_all!#REF!</f>
        <v>#REF!</v>
      </c>
      <c r="B14" s="434">
        <f ca="1">IFERROR(__xludf.DUMMYFUNCTION("Divident_all!L8*GOOGLEFINANCE (""Currency:USDRON"")"),0.100023056193059)</f>
        <v>0.100023056193059</v>
      </c>
      <c r="C14" s="435">
        <v>0.03</v>
      </c>
      <c r="E14" s="433"/>
      <c r="F14" s="433"/>
      <c r="G14" s="433"/>
      <c r="I14" s="433" t="e">
        <f>Divident_all!#REF!</f>
        <v>#REF!</v>
      </c>
      <c r="J14" s="434">
        <f ca="1">IFERROR(__xludf.DUMMYFUNCTION("Divident_all!L44*GOOGLEFINANCE (""Currency:USDRON"")"),0.7916458986306)</f>
        <v>0.79164589863059998</v>
      </c>
      <c r="K14" s="435">
        <v>0.21</v>
      </c>
      <c r="M14" s="433" t="e">
        <f>Divident_all!#REF!</f>
        <v>#REF!</v>
      </c>
      <c r="N14" s="434">
        <f ca="1">IFERROR(__xludf.DUMMYFUNCTION("Divident_all!L7*GOOGLEFINANCE (""Currency:USDRON"")"),1.25157277573379)</f>
        <v>1.25157277573379</v>
      </c>
      <c r="O14" s="435">
        <v>0.53</v>
      </c>
      <c r="P14" s="46"/>
    </row>
    <row r="15" spans="1:30" ht="12.75">
      <c r="A15" s="433" t="e">
        <f>Divident_all!#REF!</f>
        <v>#REF!</v>
      </c>
      <c r="B15" s="434">
        <f ca="1">IFERROR(__xludf.DUMMYFUNCTION("Divident_all!L42*GOOGLEFINANCE (""Currency:USDRON"")"),0.890232062522399)</f>
        <v>0.89023206252239895</v>
      </c>
      <c r="C15" s="435">
        <v>0.26</v>
      </c>
      <c r="E15" s="433"/>
      <c r="F15" s="433"/>
      <c r="G15" s="433"/>
      <c r="I15" s="433" t="e">
        <f>Divident_all!#REF!</f>
        <v>#REF!</v>
      </c>
      <c r="J15" s="434">
        <f ca="1">IFERROR(__xludf.DUMMYFUNCTION("Divident_all!L16*GOOGLEFINANCE (""Currency:USDRON"")"),0.457734032928537)</f>
        <v>0.45773403292853698</v>
      </c>
      <c r="K15" s="435">
        <v>0.27</v>
      </c>
      <c r="M15" s="433" t="e">
        <f>Divident_all!#REF!</f>
        <v>#REF!</v>
      </c>
      <c r="N15" s="434">
        <f ca="1">IFERROR(__xludf.DUMMYFUNCTION("Divident_all!L44*GOOGLEFINANCE (""Currency:USDRON"")"),0.7916458986306)</f>
        <v>0.79164589863059998</v>
      </c>
      <c r="O15" s="435">
        <v>0.28999999999999998</v>
      </c>
      <c r="P15" s="46"/>
    </row>
    <row r="16" spans="1:30" ht="15.75" customHeight="1">
      <c r="A16" s="433" t="e">
        <f>Divident_all!#REF!</f>
        <v>#REF!</v>
      </c>
      <c r="B16" s="434">
        <f ca="1">IFERROR(__xludf.DUMMYFUNCTION("Divident_all!L23*GOOGLEFINANCE (""Currency:USDRON"")"),0.40851236334168)</f>
        <v>0.40851236334168001</v>
      </c>
      <c r="C16" s="435">
        <v>0</v>
      </c>
      <c r="D16" s="442"/>
      <c r="E16" s="433"/>
      <c r="F16" s="433"/>
      <c r="G16" s="433"/>
      <c r="H16" s="442"/>
      <c r="I16" s="433" t="e">
        <f>Divident_all!#REF!</f>
        <v>#REF!</v>
      </c>
      <c r="J16" s="434">
        <f ca="1">IFERROR(__xludf.DUMMYFUNCTION("Divident_all!L48*GOOGLEFINANCE (""Currency:USDRON"")"),2.302622602488)</f>
        <v>2.3026226024879999</v>
      </c>
      <c r="K16" s="435">
        <v>1.47</v>
      </c>
      <c r="L16" s="442"/>
      <c r="M16" s="433" t="e">
        <f>Divident_all!#REF!</f>
        <v>#REF!</v>
      </c>
      <c r="N16" s="434">
        <f ca="1">IFERROR(__xludf.DUMMYFUNCTION("Divident_all!L49*GOOGLEFINANCE (""Currency:USDRON"")"),0.32051741436)</f>
        <v>0.32051741435999997</v>
      </c>
      <c r="O16" s="435">
        <v>0.2</v>
      </c>
      <c r="P16" s="46"/>
    </row>
    <row r="17" spans="1:16" ht="15.75" customHeight="1">
      <c r="A17" s="433" t="e">
        <f>Divident_all!#REF!</f>
        <v>#REF!</v>
      </c>
      <c r="B17" s="434">
        <f ca="1">IFERROR(__xludf.DUMMYFUNCTION("Divident_all!L46*GOOGLEFINANCE (""Currency:USDRON"")"),1.34210725613639)</f>
        <v>1.34210725613639</v>
      </c>
      <c r="C17" s="435">
        <v>0.32</v>
      </c>
      <c r="D17" s="443"/>
      <c r="E17" s="433"/>
      <c r="F17" s="433"/>
      <c r="G17" s="433"/>
      <c r="H17" s="443"/>
      <c r="I17" s="433"/>
      <c r="J17" s="433"/>
      <c r="K17" s="434"/>
      <c r="L17" s="443"/>
      <c r="M17" s="433" t="str">
        <f>Divident_all!B3</f>
        <v>AMD</v>
      </c>
      <c r="N17" s="434">
        <f ca="1">IFERROR(__xludf.DUMMYFUNCTION("Divident_all!L3*GOOGLEFINANCE (""Currency:USDRON"")"),2.54860214383124)</f>
        <v>2.5486021438312401</v>
      </c>
      <c r="O17" s="435">
        <v>1.67</v>
      </c>
      <c r="P17" s="46"/>
    </row>
    <row r="18" spans="1:16" ht="12.75">
      <c r="A18" s="433" t="e">
        <f>Divident_all!#REF!</f>
        <v>#REF!</v>
      </c>
      <c r="B18" s="434">
        <f ca="1">IFERROR(__xludf.DUMMYFUNCTION("Divident_all!L7*GOOGLEFINANCE (""Currency:USDRON"")"),1.25157277573379)</f>
        <v>1.25157277573379</v>
      </c>
      <c r="C18" s="435">
        <v>0.15</v>
      </c>
      <c r="E18" s="433"/>
      <c r="F18" s="433"/>
      <c r="G18" s="433"/>
      <c r="I18" s="433" t="e">
        <f>Divident_all!#REF!</f>
        <v>#REF!</v>
      </c>
      <c r="J18" s="434">
        <f ca="1">IFERROR(__xludf.DUMMYFUNCTION("Divident_all!L64*GOOGLEFINANCE (""Currency:USDRON"")"),0.617584221686249)</f>
        <v>0.61758422168624905</v>
      </c>
      <c r="K18" s="435">
        <v>0.42</v>
      </c>
      <c r="M18" s="428" t="s">
        <v>208</v>
      </c>
      <c r="N18" s="435">
        <v>5.21</v>
      </c>
      <c r="O18" s="435">
        <v>5.78</v>
      </c>
      <c r="P18" s="46"/>
    </row>
    <row r="19" spans="1:16" ht="12.75">
      <c r="A19" s="433"/>
      <c r="B19" s="433"/>
      <c r="C19" s="434"/>
      <c r="E19" s="433"/>
      <c r="F19" s="433"/>
      <c r="G19" s="433"/>
      <c r="I19" s="433" t="e">
        <f>Divident_all!#REF!</f>
        <v>#REF!</v>
      </c>
      <c r="J19" s="434">
        <f ca="1">IFERROR(__xludf.DUMMYFUNCTION("Divident_all!L38*GOOGLEFINANCE (""Currency:USDRON"")"),0.152796759716249)</f>
        <v>0.15279675971624901</v>
      </c>
      <c r="K19" s="435">
        <v>0.09</v>
      </c>
      <c r="M19" s="433" t="e">
        <f>Divident_all!#REF!</f>
        <v>#REF!</v>
      </c>
      <c r="N19" s="434">
        <f ca="1">IFERROR(__xludf.DUMMYFUNCTION("Divident_all!L20*GOOGLEFINANCE (""Currency:USDRON"")"),0.360346285727999)</f>
        <v>0.36034628572799898</v>
      </c>
      <c r="O19" s="435">
        <v>1.73</v>
      </c>
      <c r="P19" s="46"/>
    </row>
    <row r="20" spans="1:16" ht="12.75">
      <c r="A20" s="433"/>
      <c r="B20" s="433"/>
      <c r="C20" s="434"/>
      <c r="E20" s="433"/>
      <c r="F20" s="433"/>
      <c r="G20" s="433"/>
      <c r="I20" s="433" t="e">
        <f>Divident_all!#REF!</f>
        <v>#REF!</v>
      </c>
      <c r="J20" s="434">
        <f ca="1">IFERROR(__xludf.DUMMYFUNCTION("Divident_all!L45*GOOGLEFINANCE (""Currency:USDRON"")"),1.2451349640015)</f>
        <v>1.2451349640014999</v>
      </c>
      <c r="K20" s="435">
        <v>0.34</v>
      </c>
      <c r="M20" s="433" t="e">
        <f>Divident_all!#REF!</f>
        <v>#REF!</v>
      </c>
      <c r="N20" s="434">
        <f ca="1">IFERROR(__xludf.DUMMYFUNCTION("Divident_all!L6*GOOGLEFINANCE (""Currency:EURRON"")"),0.594145312064508)</f>
        <v>0.59414531206450805</v>
      </c>
      <c r="O20" s="435">
        <v>0.3</v>
      </c>
      <c r="P20" s="46"/>
    </row>
    <row r="21" spans="1:16" ht="12.75">
      <c r="A21" s="433"/>
      <c r="B21" s="433"/>
      <c r="C21" s="434"/>
      <c r="E21" s="433"/>
      <c r="F21" s="433"/>
      <c r="G21" s="433"/>
      <c r="I21" s="433" t="e">
        <f>Divident_all!#REF!</f>
        <v>#REF!</v>
      </c>
      <c r="J21" s="434">
        <f ca="1">IFERROR(__xludf.DUMMYFUNCTION("Divident_all!L63*GOOGLEFINANCE (""Currency:USDRON"")"),1.06856537702265)</f>
        <v>1.06856537702265</v>
      </c>
      <c r="K21" s="435">
        <v>0.18</v>
      </c>
      <c r="M21" s="433" t="e">
        <f>Divident_all!#REF!</f>
        <v>#REF!</v>
      </c>
      <c r="N21" s="434">
        <f ca="1">IFERROR(__xludf.DUMMYFUNCTION("Divident_all!L24*GOOGLEFINANCE (""Currency:USDRON"")"),0.831545827112519)</f>
        <v>0.83154582711251901</v>
      </c>
      <c r="O21" s="435">
        <v>0.2</v>
      </c>
      <c r="P21" s="46"/>
    </row>
    <row r="22" spans="1:16" ht="12.75">
      <c r="A22" s="433"/>
      <c r="B22" s="433"/>
      <c r="C22" s="434"/>
      <c r="E22" s="433"/>
      <c r="F22" s="433"/>
      <c r="G22" s="433"/>
      <c r="I22" s="433" t="e">
        <f>Divident_all!#REF!</f>
        <v>#REF!</v>
      </c>
      <c r="J22" s="434">
        <f ca="1">IFERROR(__xludf.DUMMYFUNCTION("Divident_all!L39*GOOGLEFINANCE (""Currency:USDRON"")"),0.284660913934799)</f>
        <v>0.28466091393479898</v>
      </c>
      <c r="K22" s="435">
        <v>0.16</v>
      </c>
      <c r="M22" s="433" t="e">
        <f>Divident_all!#REF!</f>
        <v>#REF!</v>
      </c>
      <c r="N22" s="434">
        <f ca="1">IFERROR(__xludf.DUMMYFUNCTION("Divident_all!L46*GOOGLEFINANCE (""Currency:USDRON"")"),1.34210725613639)</f>
        <v>1.34210725613639</v>
      </c>
      <c r="O22" s="435">
        <v>0.98</v>
      </c>
      <c r="P22" s="46"/>
    </row>
    <row r="23" spans="1:16" ht="12.75">
      <c r="A23" s="433"/>
      <c r="B23" s="433"/>
      <c r="C23" s="434"/>
      <c r="E23" s="433"/>
      <c r="F23" s="433"/>
      <c r="G23" s="433"/>
      <c r="I23" s="433" t="e">
        <f>Divident_all!#REF!</f>
        <v>#REF!</v>
      </c>
      <c r="J23" s="434">
        <f ca="1">IFERROR(__xludf.DUMMYFUNCTION("GOOGLEFINANCE (""Currency:USDRON"")*Divident_all!L13"),1.44160214861987)</f>
        <v>1.44160214861987</v>
      </c>
      <c r="K23" s="435">
        <v>0.54</v>
      </c>
      <c r="M23" s="433" t="e">
        <f>Divident_all!#REF!</f>
        <v>#REF!</v>
      </c>
      <c r="N23" s="434">
        <f ca="1">IFERROR(__xludf.DUMMYFUNCTION("Divident_all!L25*GOOGLEFINANCE (""Currency:GBPRON"")"),1.10357438537803)</f>
        <v>1.10357438537803</v>
      </c>
      <c r="O23" s="435">
        <v>0.38</v>
      </c>
      <c r="P23" s="46"/>
    </row>
    <row r="24" spans="1:16" ht="12.75">
      <c r="A24" s="433"/>
      <c r="B24" s="433"/>
      <c r="C24" s="434"/>
      <c r="E24" s="433"/>
      <c r="F24" s="433"/>
      <c r="G24" s="433"/>
      <c r="I24" s="433" t="e">
        <f>Divident_all!#REF!</f>
        <v>#REF!</v>
      </c>
      <c r="J24" s="434">
        <f ca="1">IFERROR(__xludf.DUMMYFUNCTION("GOOGLEFINANCE (""Currency:USDRON"")*Divident_all!L32"),0.667208826648)</f>
        <v>0.66720882664799996</v>
      </c>
      <c r="K24" s="435">
        <v>0.19</v>
      </c>
      <c r="M24" s="433" t="e">
        <f>Divident_all!#REF!</f>
        <v>#REF!</v>
      </c>
      <c r="N24" s="434">
        <f ca="1">IFERROR(__xludf.DUMMYFUNCTION("Divident_all!L35*GOOGLEFINANCE (""Currency:USDRON"")"),0.2319620007744)</f>
        <v>0.23196200077439999</v>
      </c>
      <c r="O24" s="435">
        <v>0.08</v>
      </c>
      <c r="P24" s="46"/>
    </row>
    <row r="25" spans="1:16" ht="12.75">
      <c r="A25" s="433"/>
      <c r="B25" s="433"/>
      <c r="C25" s="434"/>
      <c r="E25" s="433"/>
      <c r="F25" s="433"/>
      <c r="G25" s="433"/>
      <c r="I25" s="433" t="e">
        <f>Divident_all!#REF!</f>
        <v>#REF!</v>
      </c>
      <c r="J25" s="434">
        <f ca="1">IFERROR(__xludf.DUMMYFUNCTION("GOOGLEFINANCE (""Currency:USDRON"")*Divident_all!L31"),0.377525172179609)</f>
        <v>0.37752517217960901</v>
      </c>
      <c r="K25" s="435">
        <v>0.63</v>
      </c>
      <c r="M25" s="433" t="e">
        <f>Divident_all!#REF!</f>
        <v>#REF!</v>
      </c>
      <c r="N25" s="434">
        <f ca="1">IFERROR(__xludf.DUMMYFUNCTION("Divident_all!L34*GOOGLEFINANCE (""Currency:USDRON"")"),0.11629160831106)</f>
        <v>0.11629160831106</v>
      </c>
      <c r="O25" s="435">
        <v>0.04</v>
      </c>
      <c r="P25" s="46"/>
    </row>
    <row r="26" spans="1:16" ht="12.75">
      <c r="A26" s="433"/>
      <c r="B26" s="433"/>
      <c r="C26" s="434"/>
      <c r="E26" s="433"/>
      <c r="F26" s="433"/>
      <c r="G26" s="433"/>
      <c r="I26" s="433"/>
      <c r="J26" s="434"/>
      <c r="K26" s="434"/>
      <c r="M26" s="433" t="e">
        <f>Divident_all!#REF!</f>
        <v>#REF!</v>
      </c>
      <c r="N26" s="434">
        <f ca="1">IFERROR(__xludf.DUMMYFUNCTION("Divident_all!L60*GOOGLEFINANCE (""Currency:USDRON"")"),0.533914999899839)</f>
        <v>0.53391499989983904</v>
      </c>
      <c r="O26" s="435">
        <v>0.19</v>
      </c>
      <c r="P26" s="46"/>
    </row>
    <row r="27" spans="1:16" ht="12.75">
      <c r="A27" s="433"/>
      <c r="B27" s="433"/>
      <c r="C27" s="434"/>
      <c r="E27" s="433"/>
      <c r="F27" s="433"/>
      <c r="G27" s="433"/>
      <c r="I27" s="433"/>
      <c r="J27" s="434"/>
      <c r="K27" s="434"/>
      <c r="M27" s="433" t="e">
        <f>Divident_all!#REF!</f>
        <v>#REF!</v>
      </c>
      <c r="N27" s="434">
        <f ca="1">IFERROR(__xludf.DUMMYFUNCTION("Divident_all!L62*GOOGLEFINANCE (""Currency:USDRON"")"),0.112652827220699)</f>
        <v>0.112652827220699</v>
      </c>
      <c r="O27" s="435">
        <v>0.04</v>
      </c>
      <c r="P27" s="46"/>
    </row>
    <row r="28" spans="1:16" ht="12.75">
      <c r="A28" s="433"/>
      <c r="B28" s="433"/>
      <c r="C28" s="434"/>
      <c r="E28" s="433"/>
      <c r="F28" s="433"/>
      <c r="G28" s="433"/>
      <c r="I28" s="433"/>
      <c r="J28" s="433"/>
      <c r="K28" s="434"/>
      <c r="M28" s="433" t="e">
        <f>Divident_all!#REF!</f>
        <v>#REF!</v>
      </c>
      <c r="N28" s="434">
        <f ca="1">IFERROR(__xludf.DUMMYFUNCTION("Divident_all!L22*GOOGLEFINANCE (""Currency:CADRON"")"),1.49010631900648)</f>
        <v>1.4901063190064801</v>
      </c>
      <c r="O28" s="435">
        <v>0.46</v>
      </c>
      <c r="P28" s="46"/>
    </row>
    <row r="29" spans="1:16" ht="12.75">
      <c r="A29" s="433"/>
      <c r="B29" s="433"/>
      <c r="C29" s="434"/>
      <c r="E29" s="433"/>
      <c r="F29" s="433"/>
      <c r="G29" s="433"/>
      <c r="I29" s="433"/>
      <c r="J29" s="433"/>
      <c r="K29" s="434"/>
      <c r="M29" s="433" t="e">
        <f>Divident_all!#REF!</f>
        <v>#REF!</v>
      </c>
      <c r="N29" s="434">
        <f ca="1">IFERROR(__xludf.DUMMYFUNCTION("Divident_all!L18*GOOGLEFINANCE (""Currency:USDRON"")"),0.496060317452699)</f>
        <v>0.49606031745269902</v>
      </c>
      <c r="O29" s="435">
        <v>0.12</v>
      </c>
      <c r="P29" s="46"/>
    </row>
    <row r="30" spans="1:16" ht="15.75" customHeight="1">
      <c r="A30" s="433"/>
      <c r="B30" s="433"/>
      <c r="C30" s="434"/>
      <c r="D30" s="444" t="s">
        <v>195</v>
      </c>
      <c r="E30" s="433"/>
      <c r="F30" s="433"/>
      <c r="G30" s="433"/>
      <c r="H30" s="444" t="s">
        <v>195</v>
      </c>
      <c r="I30" s="433"/>
      <c r="J30" s="433"/>
      <c r="K30" s="433"/>
      <c r="L30" s="444" t="s">
        <v>195</v>
      </c>
      <c r="M30" s="433" t="e">
        <f>Divident_all!#REF!</f>
        <v>#REF!</v>
      </c>
      <c r="N30" s="434">
        <f ca="1">IFERROR(__xludf.DUMMYFUNCTION("Divident_all!L26*GOOGLEFINANCE (""Currency:USDRON"")"),1.30909853295702)</f>
        <v>1.3090985329570199</v>
      </c>
      <c r="O30" s="435">
        <v>1.0900000000000001</v>
      </c>
      <c r="P30" s="444" t="s">
        <v>195</v>
      </c>
    </row>
    <row r="31" spans="1:16" ht="15.75" customHeight="1">
      <c r="A31" s="433"/>
      <c r="B31" s="433"/>
      <c r="C31" s="434"/>
      <c r="D31" s="547">
        <f>SUM(C2:C33)</f>
        <v>7.4900000000000011</v>
      </c>
      <c r="E31" s="433"/>
      <c r="F31" s="433"/>
      <c r="G31" s="433"/>
      <c r="H31" s="547">
        <f>SUM(G2:G33)</f>
        <v>4.1900000000000004</v>
      </c>
      <c r="I31" s="433"/>
      <c r="J31" s="433"/>
      <c r="K31" s="433"/>
      <c r="L31" s="547">
        <f>SUM(K2:K33)</f>
        <v>7.75</v>
      </c>
      <c r="M31" s="433" t="e">
        <f>Divident_all!#REF!</f>
        <v>#REF!</v>
      </c>
      <c r="N31" s="434">
        <f ca="1">IFERROR(__xludf.DUMMYFUNCTION("Divident_all!L8*GOOGLEFINANCE (""Currency:USDRON"")"),0.100023056193059)</f>
        <v>0.100023056193059</v>
      </c>
      <c r="O31" s="435">
        <v>0.06</v>
      </c>
      <c r="P31" s="547">
        <f>SUM(O2:O33)</f>
        <v>17.38</v>
      </c>
    </row>
    <row r="32" spans="1:16" ht="15.75" customHeight="1">
      <c r="A32" s="433"/>
      <c r="B32" s="433"/>
      <c r="C32" s="434"/>
      <c r="D32" s="444" t="s">
        <v>196</v>
      </c>
      <c r="E32" s="433"/>
      <c r="F32" s="433"/>
      <c r="G32" s="433"/>
      <c r="H32" s="444" t="s">
        <v>196</v>
      </c>
      <c r="I32" s="433"/>
      <c r="J32" s="433"/>
      <c r="K32" s="433"/>
      <c r="L32" s="444" t="s">
        <v>196</v>
      </c>
      <c r="M32" s="433" t="e">
        <f>Divident_all!#REF!</f>
        <v>#REF!</v>
      </c>
      <c r="N32" s="434">
        <f ca="1">IFERROR(__xludf.DUMMYFUNCTION("Divident_all!L42*GOOGLEFINANCE (""Currency:USDRON"")"),0.890232062522399)</f>
        <v>0.89023206252239895</v>
      </c>
      <c r="O32" s="435">
        <v>0.54</v>
      </c>
      <c r="P32" s="444" t="s">
        <v>196</v>
      </c>
    </row>
    <row r="33" spans="1:16" ht="15.75" customHeight="1">
      <c r="A33" s="433"/>
      <c r="B33" s="433"/>
      <c r="C33" s="434"/>
      <c r="D33" s="449">
        <f ca="1">SUM(B4:B33)</f>
        <v>14.648226936979951</v>
      </c>
      <c r="E33" s="433"/>
      <c r="F33" s="433"/>
      <c r="G33" s="433"/>
      <c r="H33" s="449">
        <f ca="1">SUM(F4:F33)</f>
        <v>11.833699875259779</v>
      </c>
      <c r="I33" s="433"/>
      <c r="J33" s="433"/>
      <c r="K33" s="433"/>
      <c r="L33" s="449">
        <f ca="1">SUM(J4:J33)</f>
        <v>18.800377466789463</v>
      </c>
      <c r="M33" s="433" t="e">
        <f>Divident_all!#REF!</f>
        <v>#REF!</v>
      </c>
      <c r="N33" s="434">
        <f ca="1">IFERROR(__xludf.DUMMYFUNCTION("Divident_all!L23*GOOGLEFINANCE (""Currency:USDRON"")"),0.40851236334168)</f>
        <v>0.40851236334168001</v>
      </c>
      <c r="O33" s="435">
        <v>0.1</v>
      </c>
      <c r="P33" s="449">
        <f ca="1">SUM(N4:N33)</f>
        <v>25.988701232343914</v>
      </c>
    </row>
    <row r="36" spans="1:16" ht="12.75">
      <c r="B36" s="101" t="s">
        <v>197</v>
      </c>
      <c r="C36" s="101" t="s">
        <v>198</v>
      </c>
      <c r="D36" s="101" t="s">
        <v>199</v>
      </c>
      <c r="E36" s="101" t="s">
        <v>200</v>
      </c>
      <c r="F36" s="451" t="s">
        <v>201</v>
      </c>
    </row>
    <row r="37" spans="1:16" ht="17.25">
      <c r="A37" s="102" t="s">
        <v>43</v>
      </c>
      <c r="B37" s="104">
        <v>0</v>
      </c>
      <c r="C37" s="104">
        <v>0</v>
      </c>
      <c r="D37" s="452">
        <f>C8</f>
        <v>0.64</v>
      </c>
      <c r="E37" s="452">
        <f>O17</f>
        <v>1.67</v>
      </c>
      <c r="F37" s="104">
        <f t="shared" ref="F37:F98" si="0">SUM(B37:E37)</f>
        <v>2.31</v>
      </c>
    </row>
    <row r="38" spans="1:16" ht="17.25">
      <c r="A38" s="105" t="s">
        <v>45</v>
      </c>
      <c r="B38" s="107">
        <v>0</v>
      </c>
      <c r="C38" s="107">
        <v>0</v>
      </c>
      <c r="D38" s="453">
        <f>C6</f>
        <v>0.37</v>
      </c>
      <c r="E38" s="453">
        <f>O13</f>
        <v>0.45</v>
      </c>
      <c r="F38" s="107">
        <f t="shared" si="0"/>
        <v>0.82000000000000006</v>
      </c>
    </row>
    <row r="39" spans="1:16" ht="17.25">
      <c r="A39" s="109" t="s">
        <v>47</v>
      </c>
      <c r="B39" s="107">
        <v>0</v>
      </c>
      <c r="C39" s="107">
        <v>0</v>
      </c>
      <c r="D39" s="107">
        <v>0</v>
      </c>
      <c r="E39" s="107">
        <v>0</v>
      </c>
      <c r="F39" s="107">
        <f t="shared" si="0"/>
        <v>0</v>
      </c>
    </row>
    <row r="40" spans="1:16" ht="17.25">
      <c r="A40" s="105" t="s">
        <v>49</v>
      </c>
      <c r="B40" s="107">
        <v>0</v>
      </c>
      <c r="C40" s="107">
        <v>0</v>
      </c>
      <c r="D40" s="107">
        <v>0</v>
      </c>
      <c r="E40" s="453">
        <f>O20</f>
        <v>0.3</v>
      </c>
      <c r="F40" s="107">
        <f t="shared" si="0"/>
        <v>0.3</v>
      </c>
    </row>
    <row r="41" spans="1:16" ht="17.25">
      <c r="A41" s="109" t="s">
        <v>50</v>
      </c>
      <c r="B41" s="107">
        <v>0</v>
      </c>
      <c r="C41" s="107">
        <v>0</v>
      </c>
      <c r="D41" s="453">
        <f>C18</f>
        <v>0.15</v>
      </c>
      <c r="E41" s="453">
        <f>O14</f>
        <v>0.53</v>
      </c>
      <c r="F41" s="107">
        <f t="shared" si="0"/>
        <v>0.68</v>
      </c>
    </row>
    <row r="42" spans="1:16" ht="17.25">
      <c r="A42" s="105" t="s">
        <v>51</v>
      </c>
      <c r="B42" s="107">
        <v>0</v>
      </c>
      <c r="C42" s="107">
        <v>0</v>
      </c>
      <c r="D42" s="453">
        <f>C14</f>
        <v>0.03</v>
      </c>
      <c r="E42" s="453">
        <f>O31</f>
        <v>0.06</v>
      </c>
      <c r="F42" s="107">
        <f t="shared" si="0"/>
        <v>0.09</v>
      </c>
    </row>
    <row r="43" spans="1:16" ht="17.25">
      <c r="A43" s="109" t="s">
        <v>52</v>
      </c>
      <c r="B43" s="107">
        <v>0</v>
      </c>
      <c r="C43" s="107">
        <v>0</v>
      </c>
      <c r="D43" s="107">
        <v>0</v>
      </c>
      <c r="E43" s="453">
        <f>G4+O12</f>
        <v>0.85</v>
      </c>
      <c r="F43" s="107">
        <f t="shared" si="0"/>
        <v>0.85</v>
      </c>
    </row>
    <row r="44" spans="1:16" ht="17.25">
      <c r="A44" s="105" t="s">
        <v>53</v>
      </c>
      <c r="B44" s="107">
        <v>0</v>
      </c>
      <c r="C44" s="107">
        <v>0</v>
      </c>
      <c r="D44" s="107">
        <v>0</v>
      </c>
      <c r="E44" s="453">
        <f>G7</f>
        <v>0.67</v>
      </c>
      <c r="F44" s="107">
        <f t="shared" si="0"/>
        <v>0.67</v>
      </c>
    </row>
    <row r="45" spans="1:16" ht="17.25">
      <c r="A45" s="109" t="s">
        <v>54</v>
      </c>
      <c r="B45" s="107">
        <v>0</v>
      </c>
      <c r="C45" s="107">
        <v>0</v>
      </c>
      <c r="D45" s="107">
        <v>0</v>
      </c>
      <c r="E45" s="453">
        <f>K6</f>
        <v>0.36</v>
      </c>
      <c r="F45" s="107">
        <f t="shared" si="0"/>
        <v>0.36</v>
      </c>
    </row>
    <row r="46" spans="1:16" ht="17.25">
      <c r="A46" s="105" t="s">
        <v>56</v>
      </c>
      <c r="B46" s="107">
        <v>0</v>
      </c>
      <c r="C46" s="107">
        <v>0</v>
      </c>
      <c r="D46" s="107">
        <v>0</v>
      </c>
      <c r="E46" s="453">
        <f>G12</f>
        <v>0.37</v>
      </c>
      <c r="F46" s="107">
        <f t="shared" si="0"/>
        <v>0.37</v>
      </c>
    </row>
    <row r="47" spans="1:16" ht="17.25">
      <c r="A47" s="109" t="s">
        <v>57</v>
      </c>
      <c r="B47" s="107">
        <v>0</v>
      </c>
      <c r="C47" s="107">
        <v>0</v>
      </c>
      <c r="D47" s="107">
        <v>0</v>
      </c>
      <c r="E47" s="453">
        <f>K23</f>
        <v>0.54</v>
      </c>
      <c r="F47" s="107">
        <f t="shared" si="0"/>
        <v>0.54</v>
      </c>
    </row>
    <row r="48" spans="1:16" ht="17.25">
      <c r="A48" s="105" t="s">
        <v>58</v>
      </c>
      <c r="B48" s="107">
        <v>0</v>
      </c>
      <c r="C48" s="107">
        <v>0</v>
      </c>
      <c r="D48" s="453">
        <f>C11</f>
        <v>0.23</v>
      </c>
      <c r="E48" s="107">
        <v>0</v>
      </c>
      <c r="F48" s="107">
        <f t="shared" si="0"/>
        <v>0.23</v>
      </c>
    </row>
    <row r="49" spans="1:6" ht="17.25">
      <c r="A49" s="109" t="s">
        <v>59</v>
      </c>
      <c r="B49" s="107">
        <v>0</v>
      </c>
      <c r="C49" s="107">
        <v>0</v>
      </c>
      <c r="D49" s="107">
        <v>0</v>
      </c>
      <c r="E49" s="453">
        <f>K11</f>
        <v>0.2</v>
      </c>
      <c r="F49" s="107">
        <f t="shared" si="0"/>
        <v>0.2</v>
      </c>
    </row>
    <row r="50" spans="1:6" ht="17.25">
      <c r="A50" s="105" t="s">
        <v>60</v>
      </c>
      <c r="B50" s="107">
        <v>0</v>
      </c>
      <c r="C50" s="107">
        <v>0</v>
      </c>
      <c r="D50" s="107">
        <v>0</v>
      </c>
      <c r="E50" s="453">
        <f>K15</f>
        <v>0.27</v>
      </c>
      <c r="F50" s="107">
        <f t="shared" si="0"/>
        <v>0.27</v>
      </c>
    </row>
    <row r="51" spans="1:6" ht="17.25">
      <c r="A51" s="109" t="s">
        <v>61</v>
      </c>
      <c r="B51" s="107">
        <v>0</v>
      </c>
      <c r="C51" s="107">
        <v>0</v>
      </c>
      <c r="D51" s="107">
        <v>0</v>
      </c>
      <c r="E51" s="107">
        <v>0</v>
      </c>
      <c r="F51" s="107">
        <f t="shared" si="0"/>
        <v>0</v>
      </c>
    </row>
    <row r="52" spans="1:6" ht="17.25">
      <c r="A52" s="105" t="s">
        <v>62</v>
      </c>
      <c r="B52" s="107">
        <v>0</v>
      </c>
      <c r="C52" s="107">
        <v>0</v>
      </c>
      <c r="D52" s="107">
        <v>0</v>
      </c>
      <c r="E52" s="453">
        <f>O29</f>
        <v>0.12</v>
      </c>
      <c r="F52" s="107">
        <f t="shared" si="0"/>
        <v>0.12</v>
      </c>
    </row>
    <row r="53" spans="1:6" ht="17.25">
      <c r="A53" s="109" t="s">
        <v>63</v>
      </c>
      <c r="B53" s="107">
        <v>0</v>
      </c>
      <c r="C53" s="107">
        <v>0</v>
      </c>
      <c r="D53" s="107">
        <v>0</v>
      </c>
      <c r="E53" s="107">
        <v>0</v>
      </c>
      <c r="F53" s="107">
        <f t="shared" si="0"/>
        <v>0</v>
      </c>
    </row>
    <row r="54" spans="1:6" ht="17.25">
      <c r="A54" s="105" t="s">
        <v>64</v>
      </c>
      <c r="B54" s="107">
        <v>0</v>
      </c>
      <c r="C54" s="107">
        <v>0</v>
      </c>
      <c r="D54" s="453">
        <f>C10</f>
        <v>1.42</v>
      </c>
      <c r="E54" s="453">
        <f>O19</f>
        <v>1.73</v>
      </c>
      <c r="F54" s="107">
        <f t="shared" si="0"/>
        <v>3.15</v>
      </c>
    </row>
    <row r="55" spans="1:6" ht="17.25">
      <c r="A55" s="109" t="s">
        <v>65</v>
      </c>
      <c r="B55" s="107">
        <v>0</v>
      </c>
      <c r="C55" s="107">
        <v>0</v>
      </c>
      <c r="D55" s="107">
        <v>0</v>
      </c>
      <c r="E55" s="453">
        <f>K9</f>
        <v>0.35</v>
      </c>
      <c r="F55" s="107">
        <f t="shared" si="0"/>
        <v>0.35</v>
      </c>
    </row>
    <row r="56" spans="1:6" ht="17.25">
      <c r="A56" s="105" t="s">
        <v>66</v>
      </c>
      <c r="B56" s="107">
        <v>0</v>
      </c>
      <c r="C56" s="107">
        <v>0</v>
      </c>
      <c r="D56" s="107">
        <v>0</v>
      </c>
      <c r="E56" s="453">
        <f>O28</f>
        <v>0.46</v>
      </c>
      <c r="F56" s="107">
        <f t="shared" si="0"/>
        <v>0.46</v>
      </c>
    </row>
    <row r="57" spans="1:6" ht="17.25">
      <c r="A57" s="109" t="s">
        <v>67</v>
      </c>
      <c r="B57" s="107">
        <v>0</v>
      </c>
      <c r="C57" s="107">
        <v>0</v>
      </c>
      <c r="D57" s="107">
        <v>0</v>
      </c>
      <c r="E57" s="453">
        <f>O33</f>
        <v>0.1</v>
      </c>
      <c r="F57" s="107">
        <f t="shared" si="0"/>
        <v>0.1</v>
      </c>
    </row>
    <row r="58" spans="1:6" ht="17.25">
      <c r="A58" s="105" t="s">
        <v>68</v>
      </c>
      <c r="B58" s="107">
        <v>0</v>
      </c>
      <c r="C58" s="107">
        <v>0</v>
      </c>
      <c r="D58" s="107">
        <v>0</v>
      </c>
      <c r="E58" s="453">
        <f>O21</f>
        <v>0.2</v>
      </c>
      <c r="F58" s="107">
        <f t="shared" si="0"/>
        <v>0.2</v>
      </c>
    </row>
    <row r="59" spans="1:6" ht="17.25">
      <c r="A59" s="109" t="s">
        <v>69</v>
      </c>
      <c r="B59" s="107">
        <v>0</v>
      </c>
      <c r="C59" s="107">
        <v>0</v>
      </c>
      <c r="D59" s="107">
        <v>0</v>
      </c>
      <c r="E59" s="453">
        <f>O23</f>
        <v>0.38</v>
      </c>
      <c r="F59" s="107">
        <f t="shared" si="0"/>
        <v>0.38</v>
      </c>
    </row>
    <row r="60" spans="1:6" ht="17.25">
      <c r="A60" s="105" t="s">
        <v>70</v>
      </c>
      <c r="B60" s="107">
        <v>0</v>
      </c>
      <c r="C60" s="107">
        <v>0</v>
      </c>
      <c r="D60" s="453">
        <f>C9</f>
        <v>0.99</v>
      </c>
      <c r="E60" s="453">
        <f>O30</f>
        <v>1.0900000000000001</v>
      </c>
      <c r="F60" s="107">
        <f t="shared" si="0"/>
        <v>2.08</v>
      </c>
    </row>
    <row r="61" spans="1:6" ht="17.25">
      <c r="A61" s="109" t="s">
        <v>71</v>
      </c>
      <c r="B61" s="107">
        <v>0</v>
      </c>
      <c r="C61" s="107">
        <v>0</v>
      </c>
      <c r="D61" s="107">
        <v>0</v>
      </c>
      <c r="E61" s="107">
        <v>0</v>
      </c>
      <c r="F61" s="107">
        <f t="shared" si="0"/>
        <v>0</v>
      </c>
    </row>
    <row r="62" spans="1:6" ht="17.25">
      <c r="A62" s="105" t="s">
        <v>72</v>
      </c>
      <c r="B62" s="107">
        <v>0</v>
      </c>
      <c r="C62" s="107">
        <v>0</v>
      </c>
      <c r="D62" s="107">
        <v>0</v>
      </c>
      <c r="E62" s="453">
        <f>G11</f>
        <v>0.24</v>
      </c>
      <c r="F62" s="107">
        <f t="shared" si="0"/>
        <v>0.24</v>
      </c>
    </row>
    <row r="63" spans="1:6" ht="17.25">
      <c r="A63" s="109" t="s">
        <v>73</v>
      </c>
      <c r="B63" s="107">
        <v>0</v>
      </c>
      <c r="C63" s="107">
        <v>0</v>
      </c>
      <c r="D63" s="107">
        <v>0</v>
      </c>
      <c r="E63" s="453">
        <f>K13</f>
        <v>0.51</v>
      </c>
      <c r="F63" s="107">
        <f t="shared" si="0"/>
        <v>0.51</v>
      </c>
    </row>
    <row r="64" spans="1:6" ht="17.25">
      <c r="A64" s="105" t="s">
        <v>74</v>
      </c>
      <c r="B64" s="107">
        <v>0</v>
      </c>
      <c r="C64" s="107">
        <v>0</v>
      </c>
      <c r="D64" s="107">
        <v>0</v>
      </c>
      <c r="E64" s="107">
        <v>0</v>
      </c>
      <c r="F64" s="107">
        <f t="shared" si="0"/>
        <v>0</v>
      </c>
    </row>
    <row r="65" spans="1:6" ht="17.25">
      <c r="A65" s="109" t="s">
        <v>75</v>
      </c>
      <c r="B65" s="107">
        <v>0</v>
      </c>
      <c r="C65" s="107">
        <v>0</v>
      </c>
      <c r="D65" s="107">
        <v>0</v>
      </c>
      <c r="E65" s="453">
        <f>G13+K25</f>
        <v>0.76</v>
      </c>
      <c r="F65" s="107">
        <f t="shared" si="0"/>
        <v>0.76</v>
      </c>
    </row>
    <row r="66" spans="1:6" ht="17.25">
      <c r="A66" s="105" t="s">
        <v>76</v>
      </c>
      <c r="B66" s="107">
        <v>0</v>
      </c>
      <c r="C66" s="107">
        <v>0</v>
      </c>
      <c r="D66" s="107">
        <v>0</v>
      </c>
      <c r="E66" s="453">
        <f>K24</f>
        <v>0.19</v>
      </c>
      <c r="F66" s="107">
        <f t="shared" si="0"/>
        <v>0.19</v>
      </c>
    </row>
    <row r="67" spans="1:6" ht="17.25">
      <c r="A67" s="105" t="s">
        <v>77</v>
      </c>
      <c r="B67" s="107">
        <v>0</v>
      </c>
      <c r="C67" s="107">
        <v>0</v>
      </c>
      <c r="D67" s="453">
        <f>C5</f>
        <v>0.11</v>
      </c>
      <c r="E67" s="453">
        <f>O10</f>
        <v>0.14000000000000001</v>
      </c>
      <c r="F67" s="107">
        <f t="shared" si="0"/>
        <v>0.25</v>
      </c>
    </row>
    <row r="68" spans="1:6" ht="17.25">
      <c r="A68" s="109" t="s">
        <v>78</v>
      </c>
      <c r="B68" s="107">
        <v>0</v>
      </c>
      <c r="C68" s="107">
        <v>0</v>
      </c>
      <c r="D68" s="107">
        <v>0</v>
      </c>
      <c r="E68" s="453">
        <f>O25</f>
        <v>0.04</v>
      </c>
      <c r="F68" s="107">
        <f t="shared" si="0"/>
        <v>0.04</v>
      </c>
    </row>
    <row r="69" spans="1:6" ht="17.25">
      <c r="A69" s="105" t="s">
        <v>79</v>
      </c>
      <c r="B69" s="107">
        <v>0</v>
      </c>
      <c r="C69" s="107">
        <v>0</v>
      </c>
      <c r="D69" s="107">
        <v>0</v>
      </c>
      <c r="E69" s="453">
        <f>O24</f>
        <v>0.08</v>
      </c>
      <c r="F69" s="107">
        <f t="shared" si="0"/>
        <v>0.08</v>
      </c>
    </row>
    <row r="70" spans="1:6" ht="17.25">
      <c r="A70" s="105" t="s">
        <v>80</v>
      </c>
      <c r="B70" s="107">
        <v>0</v>
      </c>
      <c r="C70" s="107">
        <v>0</v>
      </c>
      <c r="D70" s="107">
        <v>0</v>
      </c>
      <c r="E70" s="453">
        <f>O9</f>
        <v>0.08</v>
      </c>
      <c r="F70" s="107">
        <f t="shared" si="0"/>
        <v>0.08</v>
      </c>
    </row>
    <row r="71" spans="1:6" ht="17.25">
      <c r="A71" s="109" t="s">
        <v>81</v>
      </c>
      <c r="B71" s="107">
        <v>0</v>
      </c>
      <c r="C71" s="107">
        <v>0</v>
      </c>
      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="105" t="s">
        <v>82</v>
      </c>
      <c r="B72" s="107">
        <v>0</v>
      </c>
      <c r="C72" s="107">
        <v>0</v>
      </c>
      <c r="D72" s="107">
        <v>0</v>
      </c>
      <c r="E72" s="453">
        <f>K19</f>
        <v>0.09</v>
      </c>
      <c r="F72" s="107">
        <f t="shared" si="0"/>
        <v>0.09</v>
      </c>
    </row>
    <row r="73" spans="1:6" ht="17.25">
      <c r="A73" s="109" t="s">
        <v>83</v>
      </c>
      <c r="B73" s="107">
        <v>0</v>
      </c>
      <c r="C73" s="107">
        <v>0</v>
      </c>
      <c r="D73" s="107">
        <v>0</v>
      </c>
      <c r="E73" s="453">
        <f>K22</f>
        <v>0.16</v>
      </c>
      <c r="F73" s="107">
        <f t="shared" si="0"/>
        <v>0.16</v>
      </c>
    </row>
    <row r="74" spans="1:6" ht="17.25">
      <c r="A74" s="105" t="s">
        <v>84</v>
      </c>
      <c r="B74" s="107">
        <v>0</v>
      </c>
      <c r="C74" s="107">
        <v>0</v>
      </c>
      <c r="D74" s="453">
        <f>C12</f>
        <v>0.05</v>
      </c>
      <c r="E74" s="453">
        <f>G9+K12+O11</f>
        <v>1.1400000000000001</v>
      </c>
      <c r="F74" s="107">
        <f t="shared" si="0"/>
        <v>1.1900000000000002</v>
      </c>
    </row>
    <row r="75" spans="1:6" ht="17.25">
      <c r="A75" s="109" t="s">
        <v>85</v>
      </c>
      <c r="B75" s="107">
        <v>0</v>
      </c>
      <c r="C75" s="107">
        <v>0</v>
      </c>
      <c r="D75" s="107">
        <v>0</v>
      </c>
      <c r="E75" s="107">
        <v>0</v>
      </c>
      <c r="F75" s="107">
        <f t="shared" si="0"/>
        <v>0</v>
      </c>
    </row>
    <row r="76" spans="1:6" ht="17.25">
      <c r="A76" s="105" t="s">
        <v>86</v>
      </c>
      <c r="B76" s="107">
        <v>0</v>
      </c>
      <c r="C76" s="107">
        <v>0</v>
      </c>
      <c r="D76" s="453">
        <f>C15</f>
        <v>0.26</v>
      </c>
      <c r="E76" s="453">
        <f>O32</f>
        <v>0.54</v>
      </c>
      <c r="F76" s="107">
        <f t="shared" si="0"/>
        <v>0.8</v>
      </c>
    </row>
    <row r="77" spans="1:6" ht="17.25">
      <c r="A77" s="109" t="s">
        <v>87</v>
      </c>
      <c r="B77" s="107">
        <v>0</v>
      </c>
      <c r="C77" s="107">
        <v>0</v>
      </c>
      <c r="D77" s="107">
        <v>0</v>
      </c>
      <c r="E77" s="453">
        <f>G6</f>
        <v>0.34</v>
      </c>
      <c r="F77" s="107">
        <f t="shared" si="0"/>
        <v>0.34</v>
      </c>
    </row>
    <row r="78" spans="1:6" ht="17.25">
      <c r="A78" s="105" t="s">
        <v>88</v>
      </c>
      <c r="B78" s="107">
        <v>0</v>
      </c>
      <c r="C78" s="107">
        <v>0</v>
      </c>
      <c r="D78" s="107">
        <v>0</v>
      </c>
      <c r="E78" s="453">
        <f>G10+K14+O15</f>
        <v>0.64999999999999991</v>
      </c>
      <c r="F78" s="107">
        <f t="shared" si="0"/>
        <v>0.64999999999999991</v>
      </c>
    </row>
    <row r="79" spans="1:6" ht="17.25">
      <c r="A79" s="109" t="s">
        <v>89</v>
      </c>
      <c r="B79" s="107">
        <v>0</v>
      </c>
      <c r="C79" s="107">
        <v>0</v>
      </c>
      <c r="D79" s="107">
        <v>0</v>
      </c>
      <c r="E79" s="453">
        <f>K20</f>
        <v>0.34</v>
      </c>
      <c r="F79" s="107">
        <f t="shared" si="0"/>
        <v>0.34</v>
      </c>
    </row>
    <row r="80" spans="1:6" ht="17.25">
      <c r="A80" s="105" t="s">
        <v>90</v>
      </c>
      <c r="B80" s="107">
        <v>0</v>
      </c>
      <c r="C80" s="107">
        <v>0</v>
      </c>
      <c r="D80" s="453">
        <f>C17</f>
        <v>0.32</v>
      </c>
      <c r="E80" s="453">
        <f>O22</f>
        <v>0.98</v>
      </c>
      <c r="F80" s="107">
        <f t="shared" si="0"/>
        <v>1.3</v>
      </c>
    </row>
    <row r="81" spans="1:6" ht="17.25">
      <c r="A81" s="109" t="s">
        <v>91</v>
      </c>
      <c r="B81" s="107">
        <v>0</v>
      </c>
      <c r="C81" s="107">
        <v>0</v>
      </c>
      <c r="D81" s="107">
        <v>0</v>
      </c>
      <c r="E81" s="453">
        <f>G8</f>
        <v>1.56</v>
      </c>
      <c r="F81" s="107">
        <f t="shared" si="0"/>
        <v>1.56</v>
      </c>
    </row>
    <row r="82" spans="1:6" ht="17.25">
      <c r="A82" s="105" t="s">
        <v>92</v>
      </c>
      <c r="B82" s="107">
        <v>0</v>
      </c>
      <c r="C82" s="107">
        <v>0</v>
      </c>
      <c r="D82" s="107">
        <v>0</v>
      </c>
      <c r="E82" s="453">
        <f>K16</f>
        <v>1.47</v>
      </c>
      <c r="F82" s="107">
        <f t="shared" si="0"/>
        <v>1.47</v>
      </c>
    </row>
    <row r="83" spans="1:6" ht="17.25">
      <c r="A83" s="109" t="s">
        <v>93</v>
      </c>
      <c r="B83" s="107">
        <v>0</v>
      </c>
      <c r="C83" s="107">
        <v>0</v>
      </c>
      <c r="D83" s="453">
        <f>C7</f>
        <v>0.13</v>
      </c>
      <c r="E83" s="453">
        <f>O16</f>
        <v>0.2</v>
      </c>
      <c r="F83" s="107">
        <f t="shared" si="0"/>
        <v>0.33</v>
      </c>
    </row>
    <row r="84" spans="1:6" ht="17.25">
      <c r="A84" s="105" t="s">
        <v>94</v>
      </c>
      <c r="B84" s="107">
        <v>0</v>
      </c>
      <c r="C84" s="107">
        <v>0</v>
      </c>
      <c r="D84" s="107">
        <v>0</v>
      </c>
      <c r="E84" s="453">
        <f>G5</f>
        <v>0.16</v>
      </c>
      <c r="F84" s="107">
        <f t="shared" si="0"/>
        <v>0.16</v>
      </c>
    </row>
    <row r="85" spans="1:6" ht="17.25">
      <c r="A85" s="109" t="s">
        <v>95</v>
      </c>
      <c r="B85" s="107">
        <v>0</v>
      </c>
      <c r="C85" s="107">
        <v>0</v>
      </c>
      <c r="D85" s="107">
        <v>0</v>
      </c>
      <c r="E85" s="453">
        <f>O7</f>
        <v>0.13</v>
      </c>
      <c r="F85" s="107">
        <f t="shared" si="0"/>
        <v>0.13</v>
      </c>
    </row>
    <row r="86" spans="1:6" ht="17.25">
      <c r="A86" s="105" t="s">
        <v>96</v>
      </c>
      <c r="B86" s="107">
        <v>0</v>
      </c>
      <c r="C86" s="107">
        <v>0</v>
      </c>
      <c r="D86" s="107">
        <v>0</v>
      </c>
      <c r="E86" s="453">
        <f>K7</f>
        <v>0.02</v>
      </c>
      <c r="F86" s="107">
        <f t="shared" si="0"/>
        <v>0.02</v>
      </c>
    </row>
    <row r="87" spans="1:6" ht="17.25">
      <c r="A87" s="109" t="s">
        <v>97</v>
      </c>
      <c r="B87" s="107">
        <v>0</v>
      </c>
      <c r="C87" s="107">
        <v>0</v>
      </c>
      <c r="D87" s="107">
        <v>0</v>
      </c>
      <c r="E87" s="453">
        <f>O8</f>
        <v>0.21</v>
      </c>
      <c r="F87" s="107">
        <f t="shared" si="0"/>
        <v>0.21</v>
      </c>
    </row>
    <row r="88" spans="1:6" ht="17.25">
      <c r="A88" s="105" t="s">
        <v>98</v>
      </c>
      <c r="B88" s="107">
        <v>0</v>
      </c>
      <c r="C88" s="107">
        <v>0</v>
      </c>
      <c r="D88" s="107">
        <v>0</v>
      </c>
      <c r="E88" s="453">
        <f>O5</f>
        <v>0.16</v>
      </c>
      <c r="F88" s="107">
        <f t="shared" si="0"/>
        <v>0.16</v>
      </c>
    </row>
    <row r="89" spans="1:6" ht="17.25">
      <c r="A89" s="109" t="s">
        <v>99</v>
      </c>
      <c r="B89" s="107">
        <v>0</v>
      </c>
      <c r="C89" s="107">
        <v>0</v>
      </c>
      <c r="D89" s="107">
        <v>0</v>
      </c>
      <c r="E89" s="453">
        <f>O4</f>
        <v>0.22</v>
      </c>
      <c r="F89" s="107">
        <f t="shared" si="0"/>
        <v>0.22</v>
      </c>
    </row>
    <row r="90" spans="1:6" ht="17.25">
      <c r="A90" s="105" t="s">
        <v>100</v>
      </c>
      <c r="B90" s="107">
        <v>0</v>
      </c>
      <c r="C90" s="107">
        <v>0</v>
      </c>
      <c r="D90" s="107">
        <v>0</v>
      </c>
      <c r="E90" s="453">
        <f>K10</f>
        <v>0.33</v>
      </c>
      <c r="F90" s="107">
        <f t="shared" si="0"/>
        <v>0.33</v>
      </c>
    </row>
    <row r="91" spans="1:6" ht="17.25">
      <c r="A91" s="109" t="s">
        <v>101</v>
      </c>
      <c r="B91" s="107">
        <v>0</v>
      </c>
      <c r="C91" s="107">
        <v>0</v>
      </c>
      <c r="D91" s="107">
        <v>0</v>
      </c>
      <c r="E91" s="453">
        <f>K5</f>
        <v>0.53</v>
      </c>
      <c r="F91" s="107">
        <f t="shared" si="0"/>
        <v>0.53</v>
      </c>
    </row>
    <row r="92" spans="1:6" ht="17.25">
      <c r="A92" s="105" t="s">
        <v>102</v>
      </c>
      <c r="B92" s="107">
        <v>0</v>
      </c>
      <c r="C92" s="107">
        <v>0</v>
      </c>
      <c r="D92" s="107">
        <v>0</v>
      </c>
      <c r="E92" s="453">
        <f>K4</f>
        <v>0.39</v>
      </c>
      <c r="F92" s="107">
        <f t="shared" si="0"/>
        <v>0.39</v>
      </c>
    </row>
    <row r="93" spans="1:6" ht="17.25">
      <c r="A93" s="109" t="s">
        <v>103</v>
      </c>
      <c r="B93" s="107">
        <v>0</v>
      </c>
      <c r="C93" s="107">
        <v>0</v>
      </c>
      <c r="D93" s="107">
        <v>0</v>
      </c>
      <c r="E93" s="453">
        <f>O6</f>
        <v>0.18</v>
      </c>
      <c r="F93" s="107">
        <f t="shared" si="0"/>
        <v>0.18</v>
      </c>
    </row>
    <row r="94" spans="1:6" ht="17.25">
      <c r="A94" s="105" t="s">
        <v>104</v>
      </c>
      <c r="B94" s="107">
        <v>0</v>
      </c>
      <c r="C94" s="107">
        <v>0</v>
      </c>
      <c r="D94" s="107">
        <v>0</v>
      </c>
      <c r="E94" s="453">
        <f>O26</f>
        <v>0.19</v>
      </c>
      <c r="F94" s="107">
        <f t="shared" si="0"/>
        <v>0.19</v>
      </c>
    </row>
    <row r="95" spans="1:6" ht="17.25">
      <c r="A95" s="109" t="s">
        <v>105</v>
      </c>
      <c r="B95" s="107">
        <v>0</v>
      </c>
      <c r="C95" s="107">
        <v>0</v>
      </c>
      <c r="D95" s="107">
        <v>0</v>
      </c>
      <c r="E95" s="107">
        <v>0</v>
      </c>
      <c r="F95" s="107">
        <f t="shared" si="0"/>
        <v>0</v>
      </c>
    </row>
    <row r="96" spans="1:6" ht="17.25">
      <c r="A96" s="105" t="s">
        <v>106</v>
      </c>
      <c r="B96" s="107">
        <v>0</v>
      </c>
      <c r="C96" s="107">
        <v>0</v>
      </c>
      <c r="D96" s="107">
        <v>0</v>
      </c>
      <c r="E96" s="453">
        <f>O27</f>
        <v>0.04</v>
      </c>
      <c r="F96" s="107">
        <f t="shared" si="0"/>
        <v>0.04</v>
      </c>
    </row>
    <row r="97" spans="1:6" ht="17.25">
      <c r="A97" s="109" t="s">
        <v>107</v>
      </c>
      <c r="B97" s="107">
        <v>0</v>
      </c>
      <c r="C97" s="107">
        <v>0</v>
      </c>
      <c r="D97" s="107">
        <v>0</v>
      </c>
      <c r="E97" s="453">
        <f>K21</f>
        <v>0.18</v>
      </c>
      <c r="F97" s="107">
        <f t="shared" si="0"/>
        <v>0.18</v>
      </c>
    </row>
    <row r="98" spans="1:6" ht="17.25">
      <c r="A98" s="110" t="s">
        <v>108</v>
      </c>
      <c r="B98" s="112">
        <v>0</v>
      </c>
      <c r="C98" s="112">
        <v>0</v>
      </c>
      <c r="D98" s="112">
        <v>0</v>
      </c>
      <c r="E98" s="454">
        <f>K18</f>
        <v>0.42</v>
      </c>
      <c r="F98" s="112">
        <f t="shared" si="0"/>
        <v>0.42</v>
      </c>
    </row>
    <row r="1007" spans="2:3" ht="12.75">
      <c r="B1007" s="548"/>
      <c r="C1007" s="548"/>
    </row>
  </sheetData>
  <conditionalFormatting sqref="B37:F98">
    <cfRule type="cellIs" dxfId="1" priority="1" operator="greaterThan">
      <formula>0</formula>
    </cfRule>
  </conditionalFormatting>
  <conditionalFormatting sqref="B37:F98">
    <cfRule type="cellIs" dxfId="0" priority="2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4"/>
  <sheetViews>
    <sheetView workbookViewId="0"/>
  </sheetViews>
  <sheetFormatPr defaultColWidth="12.5703125" defaultRowHeight="15.75" customHeight="1"/>
  <cols>
    <col min="1" max="1" width="26.28515625" customWidth="1"/>
    <col min="8" max="8" width="36" customWidth="1"/>
  </cols>
  <sheetData>
    <row r="1" spans="1:26">
      <c r="A1" s="42" t="s">
        <v>34</v>
      </c>
      <c r="B1" s="42" t="s">
        <v>35</v>
      </c>
      <c r="C1" s="42" t="s">
        <v>36</v>
      </c>
      <c r="D1" s="42" t="s">
        <v>37</v>
      </c>
      <c r="E1" s="42" t="s">
        <v>38</v>
      </c>
      <c r="F1" s="42" t="s">
        <v>39</v>
      </c>
      <c r="G1" s="42" t="s">
        <v>40</v>
      </c>
      <c r="H1" s="42" t="s">
        <v>41</v>
      </c>
      <c r="I1" s="43">
        <v>7</v>
      </c>
    </row>
    <row r="2" spans="1:26">
      <c r="A2" s="44"/>
      <c r="B2" s="45"/>
      <c r="C2" s="2"/>
      <c r="D2" s="2"/>
      <c r="E2" s="30"/>
      <c r="F2" s="30"/>
      <c r="G2" s="46"/>
      <c r="H2" s="42" t="s">
        <v>42</v>
      </c>
      <c r="I2" s="43">
        <v>1</v>
      </c>
    </row>
    <row r="3" spans="1:26">
      <c r="A3" s="47" t="s">
        <v>43</v>
      </c>
      <c r="B3" s="48">
        <f ca="1">IFERROR(__xludf.DUMMYFUNCTION("GOOGLEFINANCE(A3)"),20.89)</f>
        <v>20.89</v>
      </c>
      <c r="C3" s="49">
        <f ca="1">IFERROR(__xludf.DUMMYFUNCTION("GOOGLEFINANCE(A3,""eps"")"),3.22)</f>
        <v>3.22</v>
      </c>
      <c r="D3" s="49">
        <v>34.700000000000003</v>
      </c>
      <c r="E3" s="50">
        <f ca="1">(C3*(I1+(D3*I2))*I3)/I4</f>
        <v>132.76530337078654</v>
      </c>
      <c r="F3" s="51">
        <f t="shared" ref="F3:F64" ca="1" si="0">(E3/B3)</f>
        <v>6.3554477439342527</v>
      </c>
      <c r="G3" s="52" t="str">
        <f ca="1">IF(F3&gt;I5,"Buy","Sell")</f>
        <v>Buy</v>
      </c>
      <c r="H3" s="53" t="s">
        <v>44</v>
      </c>
      <c r="I3" s="43">
        <v>4.4000000000000004</v>
      </c>
    </row>
    <row r="4" spans="1:26">
      <c r="A4" s="54" t="s">
        <v>45</v>
      </c>
      <c r="B4" s="55">
        <f ca="1">IFERROR(__xludf.DUMMYFUNCTION("GOOGLEFINANCE(A4)"),288.98)</f>
        <v>288.98</v>
      </c>
      <c r="C4" s="2">
        <f ca="1">IFERROR(__xludf.DUMMYFUNCTION("GOOGLEFINANCE(A4,""eps"")"),8.33)</f>
        <v>8.33</v>
      </c>
      <c r="D4" s="2">
        <v>7.3</v>
      </c>
      <c r="E4" s="50">
        <f ca="1">(C4*(I1+(D4*I2))*I3)/I4</f>
        <v>117.78058426966294</v>
      </c>
      <c r="F4" s="51">
        <f t="shared" ca="1" si="0"/>
        <v>0.40757348006665833</v>
      </c>
      <c r="G4" s="56" t="str">
        <f ca="1">IF(F4&gt;I5,"Buy","Sell")</f>
        <v>Sell</v>
      </c>
      <c r="H4" s="53" t="s">
        <v>46</v>
      </c>
      <c r="I4" s="43">
        <v>4.45</v>
      </c>
    </row>
    <row r="5" spans="1:26">
      <c r="A5" s="54" t="s">
        <v>47</v>
      </c>
      <c r="B5" s="55">
        <f ca="1">IFERROR(__xludf.DUMMYFUNCTION("GOOGLEFINANCE(A5)"),165.07)</f>
        <v>165.07</v>
      </c>
      <c r="C5" s="2">
        <f ca="1">IFERROR(__xludf.DUMMYFUNCTION("GOOGLEFINANCE(A5,""eps"")"),8.31)</f>
        <v>8.31</v>
      </c>
      <c r="D5" s="2">
        <v>4.5999999999999996</v>
      </c>
      <c r="E5" s="50">
        <f ca="1">(C5*(I1+(D5*I2))*I3)/I4</f>
        <v>95.312898876404503</v>
      </c>
      <c r="F5" s="51">
        <f t="shared" ca="1" si="0"/>
        <v>0.57740897120254742</v>
      </c>
      <c r="G5" s="56" t="str">
        <f ca="1">IF(F5&gt;I5,"Buy","Sell")</f>
        <v>Sell</v>
      </c>
      <c r="H5" s="53" t="s">
        <v>48</v>
      </c>
      <c r="I5" s="57">
        <v>0.8</v>
      </c>
    </row>
    <row r="6" spans="1:26">
      <c r="A6" s="54" t="s">
        <v>49</v>
      </c>
      <c r="B6" s="58">
        <f ca="1">IFERROR(__xludf.DUMMYFUNCTION("GOOGLEFINANCE(""EPA:MC"")"),892.8)</f>
        <v>892.8</v>
      </c>
      <c r="C6" s="2">
        <f ca="1">IFERROR(__xludf.DUMMYFUNCTION("GOOGLEFINANCE(""EPA:MC"",""eps"")"),28.03)</f>
        <v>28.03</v>
      </c>
      <c r="D6" s="2">
        <v>11.37</v>
      </c>
      <c r="E6" s="59">
        <f ca="1">(C6*(I1+(D6*I2))*I3)/I4</f>
        <v>509.12558202247186</v>
      </c>
      <c r="F6" s="51">
        <f t="shared" ca="1" si="0"/>
        <v>0.57025714832266117</v>
      </c>
      <c r="G6" s="56" t="str">
        <f ca="1">IF(F6&gt;I5,"Buy","Sell")</f>
        <v>Sell</v>
      </c>
    </row>
    <row r="7" spans="1:26">
      <c r="A7" s="60" t="s">
        <v>50</v>
      </c>
      <c r="B7" s="61">
        <f ca="1">IFERROR(__xludf.DUMMYFUNCTION("GOOGLEFINANCE(A7)"),12.42)</f>
        <v>12.42</v>
      </c>
      <c r="C7" s="2">
        <f ca="1">IFERROR(__xludf.DUMMYFUNCTION("GOOGLEFINANCE(A7,""eps"")"),0.47)</f>
        <v>0.47</v>
      </c>
      <c r="D7" s="2">
        <v>-5.54</v>
      </c>
      <c r="E7" s="50">
        <f ca="1">(C7*(I1+(D7*I2))*I3)/I4</f>
        <v>0.67848988764044937</v>
      </c>
      <c r="F7" s="51">
        <f t="shared" ca="1" si="0"/>
        <v>5.4628815429987876E-2</v>
      </c>
      <c r="G7" s="56" t="str">
        <f ca="1">IF(F7&gt;I5,"Buy","Sell")</f>
        <v>Sell</v>
      </c>
    </row>
    <row r="8" spans="1:26">
      <c r="A8" s="60" t="s">
        <v>51</v>
      </c>
      <c r="B8" s="61">
        <f ca="1">IFERROR(__xludf.DUMMYFUNCTION("GOOGLEFINANCE(A8)"),254.01)</f>
        <v>254.01</v>
      </c>
      <c r="C8" s="2">
        <f ca="1">IFERROR(__xludf.DUMMYFUNCTION("GOOGLEFINANCE(A8,""eps"")"),4.12)</f>
        <v>4.12</v>
      </c>
      <c r="D8" s="2">
        <v>6.61</v>
      </c>
      <c r="E8" s="50">
        <f ca="1">(C8*(I1+(D8*I2))*I3)/I4</f>
        <v>55.443164044943828</v>
      </c>
      <c r="F8" s="51">
        <f t="shared" ca="1" si="0"/>
        <v>0.21827158003599792</v>
      </c>
      <c r="G8" s="56" t="str">
        <f ca="1">IF(F8&gt;I5,"Buy","Sell")</f>
        <v>Sell</v>
      </c>
    </row>
    <row r="9" spans="1:26">
      <c r="A9" s="60" t="s">
        <v>52</v>
      </c>
      <c r="B9" s="61">
        <f ca="1">IFERROR(__xludf.DUMMYFUNCTION("GOOGLEFINANCE(A9)"),63.05)</f>
        <v>63.05</v>
      </c>
      <c r="C9" s="2">
        <f ca="1">IFERROR(__xludf.DUMMYFUNCTION("GOOGLEFINANCE(A9,""eps"")"),2.19)</f>
        <v>2.19</v>
      </c>
      <c r="D9" s="2">
        <v>5.44</v>
      </c>
      <c r="E9" s="50">
        <f ca="1">(C9*(I1+(D9*I2))*I3)/I4</f>
        <v>26.937492134831462</v>
      </c>
      <c r="F9" s="51">
        <f t="shared" ca="1" si="0"/>
        <v>0.42724016074276705</v>
      </c>
      <c r="G9" s="56" t="str">
        <f ca="1">IF(F9&gt;I5,"Buy","Sell")</f>
        <v>Sell</v>
      </c>
    </row>
    <row r="10" spans="1:26">
      <c r="A10" s="60" t="s">
        <v>53</v>
      </c>
      <c r="B10" s="61">
        <f ca="1">IFERROR(__xludf.DUMMYFUNCTION("GOOGLEFINANCE(A10)"),45.03)</f>
        <v>45.03</v>
      </c>
      <c r="C10" s="2">
        <f ca="1">IFERROR(__xludf.DUMMYFUNCTION("GOOGLEFINANCE(A10,""eps"")"),3.19)</f>
        <v>3.19</v>
      </c>
      <c r="D10" s="2">
        <v>4.6399999999999997</v>
      </c>
      <c r="E10" s="50">
        <f ca="1">(C10*(I1+(D10*I2))*I3)/I4</f>
        <v>36.714391011235953</v>
      </c>
      <c r="F10" s="51">
        <f t="shared" ca="1" si="0"/>
        <v>0.81533180127106264</v>
      </c>
      <c r="G10" s="56" t="str">
        <f ca="1">IF(F10&gt;I5,"Buy","Sell")</f>
        <v>Buy</v>
      </c>
    </row>
    <row r="11" spans="1:26">
      <c r="A11" s="62" t="s">
        <v>54</v>
      </c>
      <c r="B11" s="63">
        <f ca="1">IFERROR(__xludf.DUMMYFUNCTION("GOOGLEFINANCE(A11)"),53.92)</f>
        <v>53.92</v>
      </c>
      <c r="C11" s="64">
        <f ca="1">IFERROR(__xludf.DUMMYFUNCTION("GOOGLEFINANCE(A11,""eps"")"),3.85)</f>
        <v>3.85</v>
      </c>
      <c r="D11" s="64">
        <v>0</v>
      </c>
      <c r="E11" s="63">
        <f ca="1">(C11*(I1+(D11*I2))*I3)/I4</f>
        <v>26.647191011235957</v>
      </c>
      <c r="F11" s="65">
        <f t="shared" ca="1" si="0"/>
        <v>0.49419864635081523</v>
      </c>
      <c r="G11" s="66" t="s">
        <v>55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>
      <c r="A12" s="60" t="s">
        <v>56</v>
      </c>
      <c r="B12" s="61">
        <f ca="1">IFERROR(__xludf.DUMMYFUNCTION("GOOGLEFINANCE(A12)"),99.48)</f>
        <v>99.48</v>
      </c>
      <c r="C12" s="2">
        <f ca="1">IFERROR(__xludf.DUMMYFUNCTION("GOOGLEFINANCE(A12,""eps"")"),5.81)</f>
        <v>5.81</v>
      </c>
      <c r="D12" s="2">
        <v>3.5</v>
      </c>
      <c r="E12" s="50">
        <f ca="1">(C12*(I1+(D12*I2))*I3)/I4</f>
        <v>60.319550561797755</v>
      </c>
      <c r="F12" s="51">
        <f t="shared" ca="1" si="0"/>
        <v>0.60634851791111533</v>
      </c>
      <c r="G12" s="56" t="str">
        <f ca="1">IF(F12&gt;I5,"Buy","Sell")</f>
        <v>Sell</v>
      </c>
    </row>
    <row r="13" spans="1:26">
      <c r="A13" s="60" t="s">
        <v>57</v>
      </c>
      <c r="B13" s="61">
        <f ca="1">IFERROR(__xludf.DUMMYFUNCTION("GOOGLEFINANCE(A13)"),35.19)</f>
        <v>35.19</v>
      </c>
      <c r="C13" s="2">
        <f ca="1">IFERROR(__xludf.DUMMYFUNCTION("GOOGLEFINANCE(A13,""eps"")"),3.65)</f>
        <v>3.65</v>
      </c>
      <c r="D13" s="2">
        <v>11.8</v>
      </c>
      <c r="E13" s="50">
        <f ca="1">(C13*(I1+(D13*I2))*I3)/I4</f>
        <v>67.848988764044947</v>
      </c>
      <c r="F13" s="51">
        <f t="shared" ca="1" si="0"/>
        <v>1.9280758387054546</v>
      </c>
      <c r="G13" s="56" t="str">
        <f ca="1">IF(F13&gt;I5,"Buy","Sell")</f>
        <v>Buy</v>
      </c>
    </row>
    <row r="14" spans="1:26">
      <c r="A14" s="60" t="s">
        <v>58</v>
      </c>
      <c r="B14" s="61">
        <f ca="1">IFERROR(__xludf.DUMMYFUNCTION("GOOGLEFINANCE(A14)"),183.51)</f>
        <v>183.51</v>
      </c>
      <c r="C14" s="2">
        <f ca="1">IFERROR(__xludf.DUMMYFUNCTION("GOOGLEFINANCE(A14,""eps"")"),6.49)</f>
        <v>6.49</v>
      </c>
      <c r="D14" s="2">
        <v>7.91</v>
      </c>
      <c r="E14" s="50">
        <f ca="1">(C14*(I1+(D14*I2))*I3)/I4</f>
        <v>95.678642696629211</v>
      </c>
      <c r="F14" s="51">
        <f t="shared" ca="1" si="0"/>
        <v>0.52138108384627113</v>
      </c>
      <c r="G14" s="56" t="str">
        <f ca="1">IF(F14&gt;I5,"Buy","Sell")</f>
        <v>Sell</v>
      </c>
    </row>
    <row r="15" spans="1:26">
      <c r="A15" s="60" t="s">
        <v>59</v>
      </c>
      <c r="B15" s="61">
        <f ca="1">IFERROR(__xludf.DUMMYFUNCTION("GOOGLEFINANCE(A15)"),75.59)</f>
        <v>75.59</v>
      </c>
      <c r="C15" s="2">
        <f ca="1">IFERROR(__xludf.DUMMYFUNCTION("GOOGLEFINANCE(A15,""eps"")"),2.13)</f>
        <v>2.13</v>
      </c>
      <c r="D15" s="2">
        <v>6.02</v>
      </c>
      <c r="E15" s="50">
        <f ca="1">(C15*(I1+(D15*I2))*I3)/I4</f>
        <v>27.420997752808987</v>
      </c>
      <c r="F15" s="51">
        <f t="shared" ca="1" si="0"/>
        <v>0.36275959456024587</v>
      </c>
      <c r="G15" s="56" t="str">
        <f ca="1">IF(F15&gt;I5,"Buy","Sell")</f>
        <v>Sell</v>
      </c>
    </row>
    <row r="16" spans="1:26">
      <c r="A16" s="60" t="s">
        <v>60</v>
      </c>
      <c r="B16" s="61">
        <f ca="1">IFERROR(__xludf.DUMMYFUNCTION("GOOGLEFINANCE(A16)"),151)</f>
        <v>151</v>
      </c>
      <c r="C16" s="2">
        <f ca="1">IFERROR(__xludf.DUMMYFUNCTION("GOOGLEFINANCE(A16,""eps"")"),5.69)</f>
        <v>5.69</v>
      </c>
      <c r="D16" s="2">
        <v>5.07</v>
      </c>
      <c r="E16" s="50">
        <f ca="1">(C16*(I1+(D16*I2))*I3)/I4</f>
        <v>67.906633707865183</v>
      </c>
      <c r="F16" s="51">
        <f t="shared" ca="1" si="0"/>
        <v>0.4497128060123522</v>
      </c>
      <c r="G16" s="56" t="str">
        <f ca="1">IF(F16&gt;I5,"Buy","Sell")</f>
        <v>Sell</v>
      </c>
    </row>
    <row r="17" spans="1:26">
      <c r="A17" s="60" t="s">
        <v>61</v>
      </c>
      <c r="B17" s="61">
        <f ca="1">IFERROR(__xludf.DUMMYFUNCTION("GOOGLEFINANCE(A17)"),137.33)</f>
        <v>137.33000000000001</v>
      </c>
      <c r="C17" s="2">
        <f ca="1">IFERROR(__xludf.DUMMYFUNCTION("GOOGLEFINANCE(A17,""eps"")"),5.72)</f>
        <v>5.72</v>
      </c>
      <c r="D17" s="2">
        <v>9.49</v>
      </c>
      <c r="E17" s="50">
        <f ca="1">(C17*(I1+(D17*I2))*I3)/I4</f>
        <v>93.262993258426974</v>
      </c>
      <c r="F17" s="51">
        <f t="shared" ca="1" si="0"/>
        <v>0.67911594887079996</v>
      </c>
      <c r="G17" s="56" t="str">
        <f ca="1">IF(F17&gt;I5,"Buy","Sell")</f>
        <v>Sell</v>
      </c>
    </row>
    <row r="18" spans="1:26">
      <c r="A18" s="60" t="s">
        <v>62</v>
      </c>
      <c r="B18" s="61">
        <f ca="1">IFERROR(__xludf.DUMMYFUNCTION("GOOGLEFINANCE(A18)"),36.97)</f>
        <v>36.97</v>
      </c>
      <c r="C18" s="2">
        <f ca="1">IFERROR(__xludf.DUMMYFUNCTION("GOOGLEFINANCE(A18,""eps"")"),1.68)</f>
        <v>1.68</v>
      </c>
      <c r="D18" s="2">
        <v>8.3000000000000007</v>
      </c>
      <c r="E18" s="50">
        <f ca="1">(C18*(I1+(D18*I2))*I3)/I4</f>
        <v>25.415191011235958</v>
      </c>
      <c r="F18" s="51">
        <f t="shared" ca="1" si="0"/>
        <v>0.68745444985761317</v>
      </c>
      <c r="G18" s="56" t="str">
        <f ca="1">IF(F18&gt;I5,"Buy","Sell")</f>
        <v>Sell</v>
      </c>
    </row>
    <row r="19" spans="1:26">
      <c r="A19" s="60" t="s">
        <v>63</v>
      </c>
      <c r="B19" s="61">
        <f ca="1">IFERROR(__xludf.DUMMYFUNCTION("GOOGLEFINANCE(A19)"),73.48)</f>
        <v>73.48</v>
      </c>
      <c r="C19" s="2">
        <f ca="1">IFERROR(__xludf.DUMMYFUNCTION("GOOGLEFINANCE(A19,""eps"")"),2.77)</f>
        <v>2.77</v>
      </c>
      <c r="D19" s="2">
        <v>15.94</v>
      </c>
      <c r="E19" s="50">
        <f ca="1">(C19*(I1+(D19*I2))*I3)/I4</f>
        <v>62.829824719101119</v>
      </c>
      <c r="F19" s="51">
        <f t="shared" ca="1" si="0"/>
        <v>0.8550602166453608</v>
      </c>
      <c r="G19" s="56" t="str">
        <f ca="1">IF(F19&gt;I5,"Buy","Sell")</f>
        <v>Buy</v>
      </c>
    </row>
    <row r="20" spans="1:26">
      <c r="A20" s="68" t="s">
        <v>64</v>
      </c>
      <c r="B20" s="69">
        <f ca="1">IFERROR(__xludf.DUMMYFUNCTION("GOOGLEFINANCE(A20)"),55.7)</f>
        <v>55.7</v>
      </c>
      <c r="C20" s="2">
        <f ca="1">IFERROR(__xludf.DUMMYFUNCTION("GOOGLEFINANCE(A20,""eps"")"),9.12)</f>
        <v>9.1199999999999992</v>
      </c>
      <c r="D20" s="2">
        <v>29.94</v>
      </c>
      <c r="E20" s="50">
        <f ca="1">(C20*(I1+(D20*I2))*I3)/I4</f>
        <v>333.10748764044945</v>
      </c>
      <c r="F20" s="51">
        <f t="shared" ca="1" si="0"/>
        <v>5.9803857745143523</v>
      </c>
      <c r="G20" s="56" t="str">
        <f ca="1">IF(F20&gt;I5,"Buy","Sell")</f>
        <v>Buy</v>
      </c>
    </row>
    <row r="21" spans="1:26">
      <c r="A21" s="68" t="s">
        <v>65</v>
      </c>
      <c r="B21" s="69">
        <f ca="1">IFERROR(__xludf.DUMMYFUNCTION("GOOGLEFINANCE(A21)"),67.03)</f>
        <v>67.03</v>
      </c>
      <c r="C21" s="2">
        <f ca="1">IFERROR(__xludf.DUMMYFUNCTION("GOOGLEFINANCE(A21,""eps"")"),3.84)</f>
        <v>3.84</v>
      </c>
      <c r="D21" s="2">
        <v>12.5</v>
      </c>
      <c r="E21" s="50">
        <f ca="1">(C21*(I1+(D21*I2))*I3)/I4</f>
        <v>74.038651685393248</v>
      </c>
      <c r="F21" s="51">
        <f t="shared" ca="1" si="0"/>
        <v>1.1045599236967514</v>
      </c>
      <c r="G21" s="56" t="str">
        <f ca="1">IF(F21&gt;I5,"Buy","Sell")</f>
        <v>Buy</v>
      </c>
    </row>
    <row r="22" spans="1:26">
      <c r="A22" s="70" t="s">
        <v>66</v>
      </c>
      <c r="B22" s="71">
        <f ca="1">IFERROR(__xludf.DUMMYFUNCTION("GOOGLEFINANCE(A22)"),40.04)</f>
        <v>40.04</v>
      </c>
      <c r="C22" s="2">
        <f ca="1">IFERROR(__xludf.DUMMYFUNCTION("GOOGLEFINANCE(A22,""eps"")"),0.96)</f>
        <v>0.96</v>
      </c>
      <c r="D22" s="2">
        <v>2.61</v>
      </c>
      <c r="E22" s="72">
        <f ca="1">(C22*(I1+(D22*I2))*I3)/I4</f>
        <v>9.1219415730337072</v>
      </c>
      <c r="F22" s="51">
        <f t="shared" ca="1" si="0"/>
        <v>0.22782071860723546</v>
      </c>
      <c r="G22" s="56" t="str">
        <f ca="1">IF(F22&gt;I5,"Buy","Sell")</f>
        <v>Sell</v>
      </c>
    </row>
    <row r="23" spans="1:26">
      <c r="A23" s="68" t="s">
        <v>67</v>
      </c>
      <c r="B23" s="69">
        <f ca="1">IFERROR(__xludf.DUMMYFUNCTION("GOOGLEFINANCE(A23)"),172.44)</f>
        <v>172.44</v>
      </c>
      <c r="C23" s="2">
        <f ca="1">IFERROR(__xludf.DUMMYFUNCTION("GOOGLEFINANCE(A23,""eps"")"),18.28)</f>
        <v>18.28</v>
      </c>
      <c r="D23" s="2">
        <v>-2.1</v>
      </c>
      <c r="E23" s="50">
        <f ca="1">(C23*(I1+(D23*I2))*I3)/I4</f>
        <v>88.565573033707892</v>
      </c>
      <c r="F23" s="51">
        <f t="shared" ca="1" si="0"/>
        <v>0.5136022560525858</v>
      </c>
      <c r="G23" s="56" t="str">
        <f ca="1">IF(F23&gt;I5,"Buy","Sell")</f>
        <v>Sell</v>
      </c>
    </row>
    <row r="24" spans="1:26">
      <c r="A24" s="68" t="s">
        <v>68</v>
      </c>
      <c r="B24" s="69">
        <f ca="1">IFERROR(__xludf.DUMMYFUNCTION("GOOGLEFINANCE(A24)"),40.58)</f>
        <v>40.58</v>
      </c>
      <c r="C24" s="2">
        <f ca="1">IFERROR(__xludf.DUMMYFUNCTION("GOOGLEFINANCE(A24,""eps"")"),-0.79)</f>
        <v>-0.79</v>
      </c>
      <c r="D24" s="2">
        <v>-4</v>
      </c>
      <c r="E24" s="50">
        <f ca="1">(C24*(I1+(D24*I2))*I3)/I4</f>
        <v>-2.343370786516854</v>
      </c>
      <c r="F24" s="51">
        <f t="shared" ca="1" si="0"/>
        <v>-5.7746939046743571E-2</v>
      </c>
      <c r="G24" s="56" t="str">
        <f ca="1">IF(F24&gt;I5,"Buy","Sell")</f>
        <v>Sell</v>
      </c>
    </row>
    <row r="25" spans="1:26">
      <c r="A25" s="73" t="s">
        <v>69</v>
      </c>
      <c r="B25" s="74">
        <f ca="1">IFERROR(__xludf.DUMMYFUNCTION("GOOGLEFINANCE(""LON:TRIG"")"),129.23)</f>
        <v>129.22999999999999</v>
      </c>
      <c r="C25" s="75">
        <f ca="1">IFERROR(__xludf.DUMMYFUNCTION("GOOGLEFINANCE(A25,""eps"")"),0.21)</f>
        <v>0.21</v>
      </c>
      <c r="D25" s="75"/>
      <c r="E25" s="76">
        <f ca="1">(C25*(I1+(D25*I2))*I3)/I4</f>
        <v>1.4534831460674156</v>
      </c>
      <c r="F25" s="65">
        <f t="shared" ca="1" si="0"/>
        <v>1.1247257959199997E-2</v>
      </c>
      <c r="G25" s="66" t="s">
        <v>55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>
      <c r="A26" s="77" t="s">
        <v>70</v>
      </c>
      <c r="B26" s="78">
        <f ca="1">IFERROR(__xludf.DUMMYFUNCTION("GOOGLEFINANCE(A26)"),113.27)</f>
        <v>113.27</v>
      </c>
      <c r="C26" s="2">
        <f ca="1">IFERROR(__xludf.DUMMYFUNCTION("GOOGLEFINANCE(A26,""eps"")"),6.7)</f>
        <v>6.7</v>
      </c>
      <c r="D26" s="2">
        <v>-17.82</v>
      </c>
      <c r="E26" s="50">
        <f ca="1">(C26*(I1+(D26*I2))*I3)/I4</f>
        <v>-71.679460674157312</v>
      </c>
      <c r="F26" s="51">
        <f t="shared" ca="1" si="0"/>
        <v>-0.63281946388414689</v>
      </c>
      <c r="G26" s="56" t="str">
        <f ca="1">IF(F26&gt;I5,"Buy","Sell")</f>
        <v>Sell</v>
      </c>
    </row>
    <row r="27" spans="1:26">
      <c r="A27" s="77" t="s">
        <v>71</v>
      </c>
      <c r="B27" s="79">
        <f ca="1">IFERROR(__xludf.DUMMYFUNCTION("GOOGLEFINANCE(A27)"),137.6)</f>
        <v>137.6</v>
      </c>
      <c r="C27" s="2">
        <f ca="1">IFERROR(__xludf.DUMMYFUNCTION("GOOGLEFINANCE(A27,""eps"")"),0.3)</f>
        <v>0.3</v>
      </c>
      <c r="D27" s="2">
        <v>-0.2</v>
      </c>
      <c r="E27" s="80">
        <f ca="1">(C27*(I1+(D27*I2))*I3)/I4</f>
        <v>2.0170786516853934</v>
      </c>
      <c r="F27" s="51">
        <f t="shared" ca="1" si="0"/>
        <v>1.4659001829108963E-2</v>
      </c>
      <c r="G27" s="56" t="str">
        <f ca="1">IF(F27&gt;I5,"Buy","Sell")</f>
        <v>Sell</v>
      </c>
    </row>
    <row r="28" spans="1:26">
      <c r="A28" s="77" t="s">
        <v>72</v>
      </c>
      <c r="B28" s="78">
        <f ca="1">IFERROR(__xludf.DUMMYFUNCTION("GOOGLEFINANCE(A28)"),138.73)</f>
        <v>138.72999999999999</v>
      </c>
      <c r="C28" s="2">
        <f ca="1">IFERROR(__xludf.DUMMYFUNCTION("GOOGLEFINANCE(A28,""eps"")"),13.56)</f>
        <v>13.56</v>
      </c>
      <c r="D28" s="2">
        <v>-0.99</v>
      </c>
      <c r="E28" s="50">
        <f ca="1">(C28*(I1+(D28*I2))*I3)/I4</f>
        <v>80.579919101123593</v>
      </c>
      <c r="F28" s="51">
        <f t="shared" ca="1" si="0"/>
        <v>0.58083989837182726</v>
      </c>
      <c r="G28" s="56" t="str">
        <f ca="1">IF(F28&gt;I5,"Buy","Sell")</f>
        <v>Sell</v>
      </c>
    </row>
    <row r="29" spans="1:26">
      <c r="A29" s="77" t="s">
        <v>73</v>
      </c>
      <c r="B29" s="78">
        <f ca="1">IFERROR(__xludf.DUMMYFUNCTION("GOOGLEFINANCE(A29)"),8.68)</f>
        <v>8.68</v>
      </c>
      <c r="C29" s="2">
        <f ca="1">IFERROR(__xludf.DUMMYFUNCTION("GOOGLEFINANCE(A29,""eps"")"),1.26)</f>
        <v>1.26</v>
      </c>
      <c r="D29" s="2">
        <v>-0.3</v>
      </c>
      <c r="E29" s="50">
        <f ca="1">(C29*(I1+(D29*I2))*I3)/I4</f>
        <v>8.3471460674157303</v>
      </c>
      <c r="F29" s="51">
        <f t="shared" ca="1" si="0"/>
        <v>0.96165277274374772</v>
      </c>
      <c r="G29" s="56" t="str">
        <f ca="1">IF(F29&gt;I5,"Buy","Sell")</f>
        <v>Buy</v>
      </c>
    </row>
    <row r="30" spans="1:26">
      <c r="A30" s="77" t="s">
        <v>74</v>
      </c>
      <c r="B30" s="78">
        <f ca="1">IFERROR(__xludf.DUMMYFUNCTION("GOOGLEFINANCE(A30)"),106.74)</f>
        <v>106.74</v>
      </c>
      <c r="C30" s="2">
        <f ca="1">IFERROR(__xludf.DUMMYFUNCTION("GOOGLEFINANCE(A30,""eps"")"),-3.06)</f>
        <v>-3.06</v>
      </c>
      <c r="D30" s="2">
        <v>-1.3</v>
      </c>
      <c r="E30" s="50">
        <f ca="1">(C30*(I1+(D30*I2))*I3)/I4</f>
        <v>-17.246022471910113</v>
      </c>
      <c r="F30" s="51">
        <f t="shared" ca="1" si="0"/>
        <v>-0.16157038103719423</v>
      </c>
      <c r="G30" s="56" t="str">
        <f ca="1">IF(F30&gt;I5,"Buy","Sell")</f>
        <v>Sell</v>
      </c>
    </row>
    <row r="31" spans="1:26">
      <c r="A31" s="77" t="s">
        <v>75</v>
      </c>
      <c r="B31" s="78">
        <f ca="1">IFERROR(__xludf.DUMMYFUNCTION("GOOGLEFINANCE(A31)"),120.04)</f>
        <v>120.04</v>
      </c>
      <c r="C31" s="2">
        <f ca="1">IFERROR(__xludf.DUMMYFUNCTION("GOOGLEFINANCE(A31,""eps"")"),10.53)</f>
        <v>10.53</v>
      </c>
      <c r="D31" s="2">
        <v>2.62</v>
      </c>
      <c r="E31" s="50">
        <f ca="1">(C31*(I1+(D31*I2))*I3)/I4</f>
        <v>100.16041348314607</v>
      </c>
      <c r="F31" s="51">
        <f t="shared" ca="1" si="0"/>
        <v>0.83439198169898421</v>
      </c>
      <c r="G31" s="56" t="str">
        <f ca="1">IF(F31&gt;I5,"Buy","Sell")</f>
        <v>Buy</v>
      </c>
    </row>
    <row r="32" spans="1:26">
      <c r="A32" s="77" t="s">
        <v>76</v>
      </c>
      <c r="B32" s="78">
        <f ca="1">IFERROR(__xludf.DUMMYFUNCTION("GOOGLEFINANCE(A32)"),26.84)</f>
        <v>26.84</v>
      </c>
      <c r="C32" s="2">
        <f ca="1">IFERROR(__xludf.DUMMYFUNCTION("GOOGLEFINANCE(A32,""eps"")"),5.04)</f>
        <v>5.04</v>
      </c>
      <c r="D32" s="2">
        <v>-11.27</v>
      </c>
      <c r="E32" s="50">
        <f ca="1">(C32*(I1+(D32*I2))*I3)/I4</f>
        <v>-21.278993258426965</v>
      </c>
      <c r="F32" s="51">
        <f t="shared" ca="1" si="0"/>
        <v>-0.79280898876404493</v>
      </c>
      <c r="G32" s="56" t="str">
        <f ca="1">IF(F32&gt;I5,"Buy","Sell")</f>
        <v>Sell</v>
      </c>
    </row>
    <row r="33" spans="1:26">
      <c r="A33" s="81" t="s">
        <v>77</v>
      </c>
      <c r="B33" s="82">
        <f ca="1">IFERROR(__xludf.DUMMYFUNCTION("GOOGLEFINANCE(""dov"")"),147.01)</f>
        <v>147.01</v>
      </c>
      <c r="C33" s="2">
        <f ca="1">IFERROR(__xludf.DUMMYFUNCTION("GOOGLEFINANCE(A33,""eps"")"),7.42)</f>
        <v>7.42</v>
      </c>
      <c r="D33" s="2">
        <v>9.85</v>
      </c>
      <c r="E33" s="50">
        <f ca="1">(C33*(I1+(D33*I2))*I3)/I4</f>
        <v>123.62220224719103</v>
      </c>
      <c r="F33" s="51">
        <f t="shared" ca="1" si="0"/>
        <v>0.84091015745317343</v>
      </c>
      <c r="G33" s="56" t="str">
        <f ca="1">IF(F33&gt;I5,"Buy","Sell")</f>
        <v>Buy</v>
      </c>
    </row>
    <row r="34" spans="1:26">
      <c r="A34" s="81" t="s">
        <v>78</v>
      </c>
      <c r="B34" s="82">
        <f ca="1">IFERROR(__xludf.DUMMYFUNCTION("GOOGLEFINANCE(""ph"")"),319.11)</f>
        <v>319.11</v>
      </c>
      <c r="C34" s="2">
        <f ca="1">IFERROR(__xludf.DUMMYFUNCTION("GOOGLEFINANCE(A34,""eps"")"),9.68)</f>
        <v>9.68</v>
      </c>
      <c r="D34" s="2">
        <v>11.1</v>
      </c>
      <c r="E34" s="50">
        <f ca="1">(C34*(I1+(D34*I2))*I3)/I4</f>
        <v>173.23937078651684</v>
      </c>
      <c r="F34" s="51">
        <f t="shared" ca="1" si="0"/>
        <v>0.54288292684816153</v>
      </c>
      <c r="G34" s="56" t="str">
        <f ca="1">IF(F34&gt;I5,"Buy","Sell")</f>
        <v>Sell</v>
      </c>
    </row>
    <row r="35" spans="1:26">
      <c r="A35" s="73" t="s">
        <v>79</v>
      </c>
      <c r="B35" s="63">
        <f ca="1">IFERROR(__xludf.DUMMYFUNCTION("GOOGLEFINANCE(""EMR"")"),86.36)</f>
        <v>86.36</v>
      </c>
      <c r="C35" s="64">
        <f ca="1">IFERROR(__xludf.DUMMYFUNCTION("GOOGLEFINANCE(A35,""eps"")"),7.89)</f>
        <v>7.89</v>
      </c>
      <c r="D35" s="64">
        <v>0</v>
      </c>
      <c r="E35" s="83">
        <f ca="1">(C35*(I1+(D35*I2))*I3)/I4</f>
        <v>54.60943820224719</v>
      </c>
      <c r="F35" s="65">
        <f t="shared" ca="1" si="0"/>
        <v>0.63234643587595174</v>
      </c>
      <c r="G35" s="66" t="s">
        <v>55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>
      <c r="A36" s="81" t="s">
        <v>80</v>
      </c>
      <c r="B36" s="82">
        <f ca="1">IFERROR(__xludf.DUMMYFUNCTION("GOOGLEFINANCE(""CMI"")"),233.61)</f>
        <v>233.61</v>
      </c>
      <c r="C36" s="2">
        <f ca="1">IFERROR(__xludf.DUMMYFUNCTION("GOOGLEFINANCE(A36,""eps"")"),15.12)</f>
        <v>15.12</v>
      </c>
      <c r="D36" s="2">
        <v>9.5</v>
      </c>
      <c r="E36" s="50">
        <f ca="1">(C36*(I1+(D36*I2))*I3)/I4</f>
        <v>246.67685393258427</v>
      </c>
      <c r="F36" s="51">
        <f t="shared" ca="1" si="0"/>
        <v>1.0559344802559147</v>
      </c>
      <c r="G36" s="56" t="str">
        <f ca="1">IF(F36&gt;I5,"Buy","Sell")</f>
        <v>Buy</v>
      </c>
    </row>
    <row r="37" spans="1:26">
      <c r="A37" s="81" t="s">
        <v>81</v>
      </c>
      <c r="B37" s="82">
        <f ca="1">IFERROR(__xludf.DUMMYFUNCTION("GOOGLEFINANCE(""gd"")"),227.69)</f>
        <v>227.69</v>
      </c>
      <c r="C37" s="2">
        <f ca="1">IFERROR(__xludf.DUMMYFUNCTION("GOOGLEFINANCE(A37,""eps"")"),12.19)</f>
        <v>12.19</v>
      </c>
      <c r="D37" s="2">
        <v>9.32</v>
      </c>
      <c r="E37" s="50">
        <f ca="1">(C37*(I1+(D37*I2))*I3)/I4</f>
        <v>196.70551011235958</v>
      </c>
      <c r="F37" s="51">
        <f t="shared" ca="1" si="0"/>
        <v>0.86391809087952731</v>
      </c>
      <c r="G37" s="56" t="str">
        <f ca="1">IF(F37&gt;I5,"Buy","Sell")</f>
        <v>Buy</v>
      </c>
    </row>
    <row r="38" spans="1:26">
      <c r="A38" s="81" t="s">
        <v>82</v>
      </c>
      <c r="B38" s="82">
        <f ca="1">IFERROR(__xludf.DUMMYFUNCTION("GOOGLEFINANCE(""DE"")"),387.77)</f>
        <v>387.77</v>
      </c>
      <c r="C38" s="2">
        <f ca="1">IFERROR(__xludf.DUMMYFUNCTION("GOOGLEFINANCE(A38,""eps"")"),26.96)</f>
        <v>26.96</v>
      </c>
      <c r="D38" s="2">
        <v>12.19</v>
      </c>
      <c r="E38" s="50">
        <f ca="1">(C38*(I1+(D38*I2))*I3)/I4</f>
        <v>511.54933932584271</v>
      </c>
      <c r="F38" s="51">
        <f t="shared" ca="1" si="0"/>
        <v>1.3192081371066424</v>
      </c>
      <c r="G38" s="56" t="str">
        <f ca="1">IF(F38&gt;I5,"Buy","Sell")</f>
        <v>Buy</v>
      </c>
    </row>
    <row r="39" spans="1:26">
      <c r="A39" s="81" t="s">
        <v>83</v>
      </c>
      <c r="B39" s="82">
        <f ca="1">IFERROR(__xludf.DUMMYFUNCTION("GOOGLEFINANCE(""cat"")"),223.68)</f>
        <v>223.68</v>
      </c>
      <c r="C39" s="2">
        <f ca="1">IFERROR(__xludf.DUMMYFUNCTION("GOOGLEFINANCE(A39,""eps"")"),12.64)</f>
        <v>12.64</v>
      </c>
      <c r="D39" s="2">
        <v>13.22</v>
      </c>
      <c r="E39" s="50">
        <f ca="1">(C39*(I1+(D39*I2))*I3)/I4</f>
        <v>252.70910561797754</v>
      </c>
      <c r="F39" s="51">
        <f t="shared" ca="1" si="0"/>
        <v>1.129779620967353</v>
      </c>
      <c r="G39" s="56" t="str">
        <f ca="1">IF(F39&gt;I5,"Buy","Sell")</f>
        <v>Buy</v>
      </c>
    </row>
    <row r="40" spans="1:26">
      <c r="A40" s="84" t="s">
        <v>84</v>
      </c>
      <c r="B40" s="85">
        <f ca="1">IFERROR(__xludf.DUMMYFUNCTION("GOOGLEFINANCE(""epr"")"),39.64)</f>
        <v>39.64</v>
      </c>
      <c r="C40" s="2">
        <f ca="1">IFERROR(__xludf.DUMMYFUNCTION("GOOGLEFINANCE(A40,""eps"")"),2.03)</f>
        <v>2.0299999999999998</v>
      </c>
      <c r="D40" s="2">
        <v>7</v>
      </c>
      <c r="E40" s="50">
        <f ca="1">(C40*(I1+(D40*I2))*I3)/I4</f>
        <v>28.10067415730337</v>
      </c>
      <c r="F40" s="51">
        <f t="shared" ca="1" si="0"/>
        <v>0.70889692626900525</v>
      </c>
      <c r="G40" s="56" t="str">
        <f ca="1">IF(F40&gt;I5,"Buy","Sell")</f>
        <v>Sell</v>
      </c>
    </row>
    <row r="41" spans="1:26">
      <c r="A41" s="84" t="s">
        <v>85</v>
      </c>
      <c r="B41" s="85">
        <f ca="1">IFERROR(__xludf.DUMMYFUNCTION("GOOGLEFINANCE(""amt"")"),206.89)</f>
        <v>206.89</v>
      </c>
      <c r="C41" s="2">
        <f ca="1">IFERROR(__xludf.DUMMYFUNCTION("GOOGLEFINANCE(A41,""eps"")"),3.82)</f>
        <v>3.82</v>
      </c>
      <c r="D41" s="2">
        <v>0.18</v>
      </c>
      <c r="E41" s="50">
        <f ca="1">(C41*(I1+(D41*I2))*I3)/I4</f>
        <v>27.119424719101122</v>
      </c>
      <c r="F41" s="51">
        <f t="shared" ca="1" si="0"/>
        <v>0.13108137038571765</v>
      </c>
      <c r="G41" s="56" t="str">
        <f ca="1">IF(F41&gt;I5,"Buy","Sell")</f>
        <v>Sell</v>
      </c>
    </row>
    <row r="42" spans="1:26">
      <c r="A42" s="84" t="s">
        <v>86</v>
      </c>
      <c r="B42" s="85">
        <f ca="1">IFERROR(__xludf.DUMMYFUNCTION("GOOGLEFINANCE(""glpi"")"),50.85)</f>
        <v>50.85</v>
      </c>
      <c r="C42" s="2">
        <f ca="1">IFERROR(__xludf.DUMMYFUNCTION("GOOGLEFINANCE(A42,""eps"")"),2.7)</f>
        <v>2.7</v>
      </c>
      <c r="D42" s="2">
        <v>8.41</v>
      </c>
      <c r="E42" s="50">
        <f ca="1">(C42*(I1+(D42*I2))*I3)/I4</f>
        <v>41.139505617977534</v>
      </c>
      <c r="F42" s="51">
        <f t="shared" ca="1" si="0"/>
        <v>0.809036491995625</v>
      </c>
      <c r="G42" s="56" t="str">
        <f ca="1">IF(F42&gt;I5,"Buy","Sell")</f>
        <v>Buy</v>
      </c>
    </row>
    <row r="43" spans="1:26">
      <c r="A43" s="84" t="s">
        <v>87</v>
      </c>
      <c r="B43" s="85">
        <f ca="1">IFERROR(__xludf.DUMMYFUNCTION("GOOGLEFINANCE(""frt"")"),96.37)</f>
        <v>96.37</v>
      </c>
      <c r="C43" s="2">
        <f ca="1">IFERROR(__xludf.DUMMYFUNCTION("GOOGLEFINANCE(A43,""eps"")"),4.67)</f>
        <v>4.67</v>
      </c>
      <c r="D43" s="2">
        <v>7.12</v>
      </c>
      <c r="E43" s="50">
        <f ca="1">(C43*(I1+(D43*I2))*I3)/I4</f>
        <v>65.199496629213485</v>
      </c>
      <c r="F43" s="51">
        <f t="shared" ca="1" si="0"/>
        <v>0.6765538718399241</v>
      </c>
      <c r="G43" s="56" t="str">
        <f ca="1">IF(F43&gt;I5,"Buy","Sell")</f>
        <v>Sell</v>
      </c>
    </row>
    <row r="44" spans="1:26">
      <c r="A44" s="84" t="s">
        <v>88</v>
      </c>
      <c r="B44" s="85">
        <f ca="1">IFERROR(__xludf.DUMMYFUNCTION("GOOGLEFINANCE(""o"")"),60.77)</f>
        <v>60.77</v>
      </c>
      <c r="C44" s="2">
        <f ca="1">IFERROR(__xludf.DUMMYFUNCTION("GOOGLEFINANCE(A44,""eps"")"),1.42)</f>
        <v>1.42</v>
      </c>
      <c r="D44" s="2">
        <v>22.62</v>
      </c>
      <c r="E44" s="50">
        <f ca="1">(C44*(I1+(D44*I2))*I3)/I4</f>
        <v>41.587811235955058</v>
      </c>
      <c r="F44" s="51">
        <f t="shared" ca="1" si="0"/>
        <v>0.68434772479768069</v>
      </c>
      <c r="G44" s="56" t="str">
        <f ca="1">IF(F44&gt;I5,"Buy","Sell")</f>
        <v>Sell</v>
      </c>
    </row>
    <row r="45" spans="1:26">
      <c r="A45" s="84" t="s">
        <v>89</v>
      </c>
      <c r="B45" s="85">
        <f ca="1">IFERROR(__xludf.DUMMYFUNCTION("GOOGLEFINANCE(""nnn"")"),42.54)</f>
        <v>42.54</v>
      </c>
      <c r="C45" s="2">
        <f ca="1">IFERROR(__xludf.DUMMYFUNCTION("GOOGLEFINANCE(A45,""eps"")"),1.89)</f>
        <v>1.89</v>
      </c>
      <c r="D45" s="2">
        <v>9.7899999999999991</v>
      </c>
      <c r="E45" s="50">
        <f ca="1">(C45*(I1+(D45*I2))*I3)/I4</f>
        <v>31.37654831460674</v>
      </c>
      <c r="F45" s="51">
        <f t="shared" ca="1" si="0"/>
        <v>0.73757753442893137</v>
      </c>
      <c r="G45" s="56" t="str">
        <f ca="1">IF(F45&gt;I5,"Buy","Sell")</f>
        <v>Sell</v>
      </c>
    </row>
    <row r="46" spans="1:26">
      <c r="A46" s="84" t="s">
        <v>90</v>
      </c>
      <c r="B46" s="85">
        <f ca="1">IFERROR(__xludf.DUMMYFUNCTION("GOOGLEFINANCE(""spg"")"),107.56)</f>
        <v>107.56</v>
      </c>
      <c r="C46" s="2">
        <f ca="1">IFERROR(__xludf.DUMMYFUNCTION("GOOGLEFINANCE(A46,""eps"")"),6.52)</f>
        <v>6.52</v>
      </c>
      <c r="D46" s="2">
        <v>8.6</v>
      </c>
      <c r="E46" s="50">
        <f ca="1">(C46*(I1+(D46*I2))*I3)/I4</f>
        <v>100.56916853932584</v>
      </c>
      <c r="F46" s="51">
        <f t="shared" ca="1" si="0"/>
        <v>0.9350052857877077</v>
      </c>
      <c r="G46" s="56" t="str">
        <f ca="1">IF(F46&gt;I5,"Buy","Sell")</f>
        <v>Buy</v>
      </c>
    </row>
    <row r="47" spans="1:26">
      <c r="A47" s="62" t="s">
        <v>91</v>
      </c>
      <c r="B47" s="63">
        <f ca="1">IFERROR(__xludf.DUMMYFUNCTION("GOOGLEFINANCE(""gnl"")"),11.5)</f>
        <v>11.5</v>
      </c>
      <c r="C47" s="64">
        <f ca="1">IFERROR(__xludf.DUMMYFUNCTION("GOOGLEFINANCE(A47,""eps"")"),-0.09)</f>
        <v>-0.09</v>
      </c>
      <c r="D47" s="64">
        <v>0</v>
      </c>
      <c r="E47" s="83">
        <f ca="1">(C47*(I1+(D47*I2))*I3)/I4</f>
        <v>-0.62292134831460677</v>
      </c>
      <c r="F47" s="65">
        <f t="shared" ca="1" si="0"/>
        <v>-5.4167073766487543E-2</v>
      </c>
      <c r="G47" s="66" t="s">
        <v>55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>
      <c r="A48" s="84" t="s">
        <v>92</v>
      </c>
      <c r="B48" s="85">
        <f ca="1">IFERROR(__xludf.DUMMYFUNCTION("GOOGLEFINANCE(""abr"")"),10.32)</f>
        <v>10.32</v>
      </c>
      <c r="C48" s="2">
        <f ca="1">IFERROR(__xludf.DUMMYFUNCTION("GOOGLEFINANCE(A48,""eps"")"),1.43)</f>
        <v>1.43</v>
      </c>
      <c r="D48" s="2">
        <v>8</v>
      </c>
      <c r="E48" s="50">
        <f ca="1">(C48*(I1+(D48*I2))*I3)/I4</f>
        <v>21.208988764044946</v>
      </c>
      <c r="F48" s="51">
        <f t="shared" ca="1" si="0"/>
        <v>2.0551345701593942</v>
      </c>
      <c r="G48" s="56" t="str">
        <f ca="1">IF(F48&gt;I5,"Buy","Sell")</f>
        <v>Buy</v>
      </c>
    </row>
    <row r="49" spans="1:7">
      <c r="A49" s="86" t="s">
        <v>93</v>
      </c>
      <c r="B49" s="87">
        <f ca="1">IFERROR(__xludf.DUMMYFUNCTION("GOOGLEFINANCE(""QCOM"")"),120.16)</f>
        <v>120.16</v>
      </c>
      <c r="C49" s="2">
        <f ca="1">IFERROR(__xludf.DUMMYFUNCTION("GOOGLEFINANCE(A49,""eps"")"),10.38)</f>
        <v>10.38</v>
      </c>
      <c r="D49" s="2">
        <v>-7.24</v>
      </c>
      <c r="E49" s="50">
        <f ca="1">(C49*(I1+(D49*I2))*I3)/I4</f>
        <v>-2.4632089887640474</v>
      </c>
      <c r="F49" s="51">
        <f t="shared" ca="1" si="0"/>
        <v>-2.049940902766351E-2</v>
      </c>
      <c r="G49" s="56" t="str">
        <f ca="1">IF(F49&gt;I5,"Buy","Sell")</f>
        <v>Sell</v>
      </c>
    </row>
    <row r="50" spans="1:7">
      <c r="A50" s="86" t="s">
        <v>94</v>
      </c>
      <c r="B50" s="87">
        <f ca="1">IFERROR(__xludf.DUMMYFUNCTION("GOOGLEFINANCE(""tsm"")"),87.2)</f>
        <v>87.2</v>
      </c>
      <c r="C50" s="2">
        <f ca="1">IFERROR(__xludf.DUMMYFUNCTION("GOOGLEFINANCE(A50,""eps"")"),6.43)</f>
        <v>6.43</v>
      </c>
      <c r="D50" s="2">
        <v>21.5</v>
      </c>
      <c r="E50" s="50">
        <f ca="1">(C50*(I1+(D50*I2))*I3)/I4</f>
        <v>181.19595505617977</v>
      </c>
      <c r="F50" s="51">
        <f t="shared" ca="1" si="0"/>
        <v>2.0779352644057312</v>
      </c>
      <c r="G50" s="56" t="str">
        <f ca="1">IF(F50&gt;I5,"Buy","Sell")</f>
        <v>Buy</v>
      </c>
    </row>
    <row r="51" spans="1:7">
      <c r="A51" s="86" t="s">
        <v>95</v>
      </c>
      <c r="B51" s="87">
        <f ca="1">IFERROR(__xludf.DUMMYFUNCTION("GOOGLEFINANCE(""msf"")"),260.95)</f>
        <v>260.95</v>
      </c>
      <c r="C51" s="2">
        <f ca="1">IFERROR(__xludf.DUMMYFUNCTION("GOOGLEFINANCE(A51,""eps"")"),8.99)</f>
        <v>8.99</v>
      </c>
      <c r="D51" s="2">
        <v>11.77</v>
      </c>
      <c r="E51" s="50">
        <f ca="1">(C51*(I1+(D51*I2))*I3)/I4</f>
        <v>166.84631910112361</v>
      </c>
      <c r="F51" s="51">
        <f t="shared" ca="1" si="0"/>
        <v>0.63938041425991043</v>
      </c>
      <c r="G51" s="56" t="str">
        <f ca="1">IF(F51&gt;I5,"Buy","Sell")</f>
        <v>Sell</v>
      </c>
    </row>
    <row r="52" spans="1:7">
      <c r="A52" s="86" t="s">
        <v>96</v>
      </c>
      <c r="B52" s="87">
        <f ca="1">IFERROR(__xludf.DUMMYFUNCTION("GOOGLEFINANCE(""aapl"")"),165.21)</f>
        <v>165.21</v>
      </c>
      <c r="C52" s="2">
        <f ca="1">IFERROR(__xludf.DUMMYFUNCTION("GOOGLEFINANCE(A52,""eps"")"),5.89)</f>
        <v>5.89</v>
      </c>
      <c r="D52" s="2">
        <v>8.1300000000000008</v>
      </c>
      <c r="E52" s="50">
        <f ca="1">(C52*(I1+(D52*I2))*I3)/I4</f>
        <v>88.114400000000018</v>
      </c>
      <c r="F52" s="51">
        <f t="shared" ca="1" si="0"/>
        <v>0.53334786029901349</v>
      </c>
      <c r="G52" s="56" t="str">
        <f ca="1">IF(F52&gt;I5,"Buy","Sell")</f>
        <v>Sell</v>
      </c>
    </row>
    <row r="53" spans="1:7">
      <c r="A53" s="86" t="s">
        <v>97</v>
      </c>
      <c r="B53" s="87">
        <f ca="1">IFERROR(__xludf.DUMMYFUNCTION("GOOGLEFINANCE(""ibm"")"),128.14)</f>
        <v>128.13999999999999</v>
      </c>
      <c r="C53" s="2">
        <f ca="1">IFERROR(__xludf.DUMMYFUNCTION("GOOGLEFINANCE(A53,""eps"")"),2.03)</f>
        <v>2.0299999999999998</v>
      </c>
      <c r="D53" s="2">
        <v>6.67</v>
      </c>
      <c r="E53" s="50">
        <f ca="1">(C53*(I1+(D53*I2))*I3)/I4</f>
        <v>27.438301123595501</v>
      </c>
      <c r="F53" s="51">
        <f t="shared" ca="1" si="0"/>
        <v>0.21412752554702283</v>
      </c>
      <c r="G53" s="56" t="str">
        <f ca="1">IF(F53&gt;I5,"Buy","Sell")</f>
        <v>Sell</v>
      </c>
    </row>
    <row r="54" spans="1:7">
      <c r="A54" s="88" t="s">
        <v>98</v>
      </c>
      <c r="B54" s="89">
        <f ca="1">IFERROR(__xludf.DUMMYFUNCTION("GOOGLEFINANCE(""jnj"")"),165.84)</f>
        <v>165.84</v>
      </c>
      <c r="C54" s="2">
        <f ca="1">IFERROR(__xludf.DUMMYFUNCTION("GOOGLEFINANCE(A54,""eps"")"),6.73)</f>
        <v>6.73</v>
      </c>
      <c r="D54" s="2">
        <v>3.89</v>
      </c>
      <c r="E54" s="50">
        <f ca="1">(C54*(I1+(D54*I2))*I3)/I4</f>
        <v>72.466220224719123</v>
      </c>
      <c r="F54" s="51">
        <f t="shared" ca="1" si="0"/>
        <v>0.43696466609213169</v>
      </c>
      <c r="G54" s="56" t="str">
        <f ca="1">IF(F54&gt;I5,"Buy","Sell")</f>
        <v>Sell</v>
      </c>
    </row>
    <row r="55" spans="1:7">
      <c r="A55" s="90" t="s">
        <v>99</v>
      </c>
      <c r="B55" s="89">
        <f ca="1">IFERROR(__xludf.DUMMYFUNCTION("GOOGLEFINANCE(""pfe"")"),41.19)</f>
        <v>41.19</v>
      </c>
      <c r="C55" s="2">
        <f ca="1">IFERROR(__xludf.DUMMYFUNCTION("GOOGLEFINANCE(A55,""eps"")"),5.47)</f>
        <v>5.47</v>
      </c>
      <c r="D55" s="2">
        <v>-5.45</v>
      </c>
      <c r="E55" s="50">
        <f ca="1">(C55*(I1+(D55*I2))*I3)/I4</f>
        <v>8.383235955056179</v>
      </c>
      <c r="F55" s="51">
        <f t="shared" ca="1" si="0"/>
        <v>0.20352600036552998</v>
      </c>
      <c r="G55" s="56" t="str">
        <f ca="1">IF(F55&gt;I5,"Buy","Sell")</f>
        <v>Sell</v>
      </c>
    </row>
    <row r="56" spans="1:7">
      <c r="A56" s="90" t="s">
        <v>100</v>
      </c>
      <c r="B56" s="89">
        <f ca="1">IFERROR(__xludf.DUMMYFUNCTION("GOOGLEFINANCE(""abbv"")"),161.59)</f>
        <v>161.59</v>
      </c>
      <c r="C56" s="2">
        <f ca="1">IFERROR(__xludf.DUMMYFUNCTION("GOOGLEFINANCE(A56,""eps"")"),6.63)</f>
        <v>6.63</v>
      </c>
      <c r="D56" s="2">
        <v>-2.92</v>
      </c>
      <c r="E56" s="50">
        <f ca="1">(C56*(I1+(D56*I2))*I3)/I4</f>
        <v>26.746462921348318</v>
      </c>
      <c r="F56" s="51">
        <f t="shared" ca="1" si="0"/>
        <v>0.16552053296211597</v>
      </c>
      <c r="G56" s="56" t="str">
        <f ca="1">IF(F56&gt;I5,"Buy","Sell")</f>
        <v>Sell</v>
      </c>
    </row>
    <row r="57" spans="1:7">
      <c r="A57" s="91" t="s">
        <v>101</v>
      </c>
      <c r="B57" s="92">
        <f ca="1">IFERROR(__xludf.DUMMYFUNCTION("GOOGLEFINANCE(""vz"")"),39.22)</f>
        <v>39.22</v>
      </c>
      <c r="C57" s="2">
        <f ca="1">IFERROR(__xludf.DUMMYFUNCTION("GOOGLEFINANCE(A57,""eps"")"),5.06)</f>
        <v>5.0599999999999996</v>
      </c>
      <c r="D57" s="2">
        <v>0.82</v>
      </c>
      <c r="E57" s="50">
        <f ca="1">(C57*(I1+(D57*I2))*I3)/I4</f>
        <v>39.124602247191007</v>
      </c>
      <c r="F57" s="51">
        <f t="shared" ca="1" si="0"/>
        <v>0.99756762486463557</v>
      </c>
      <c r="G57" s="56" t="str">
        <f ca="1">IF(F57&gt;I5,"Buy","Sell")</f>
        <v>Buy</v>
      </c>
    </row>
    <row r="58" spans="1:7">
      <c r="A58" s="93" t="s">
        <v>102</v>
      </c>
      <c r="B58" s="92">
        <f ca="1">IFERROR(__xludf.DUMMYFUNCTION("GOOGLEFINANCE(""t"")"),19.93)</f>
        <v>19.93</v>
      </c>
      <c r="C58" s="2">
        <f ca="1">IFERROR(__xludf.DUMMYFUNCTION("GOOGLEFINANCE(A58,""eps"")"),-1.19)</f>
        <v>-1.19</v>
      </c>
      <c r="D58" s="2">
        <v>0.76</v>
      </c>
      <c r="E58" s="50">
        <f ca="1">(C58*(I1+(D58*I2))*I3)/I4</f>
        <v>-9.1306426966292129</v>
      </c>
      <c r="F58" s="51">
        <f t="shared" ca="1" si="0"/>
        <v>-0.4581356094645867</v>
      </c>
      <c r="G58" s="56" t="str">
        <f ca="1">IF(F58&gt;I5,"Buy","Sell")</f>
        <v>Sell</v>
      </c>
    </row>
    <row r="59" spans="1:7">
      <c r="A59" s="94" t="s">
        <v>103</v>
      </c>
      <c r="B59" s="95">
        <f ca="1">IFERROR(__xludf.DUMMYFUNCTION("GOOGLEFINANCE(""so"")"),71.94)</f>
        <v>71.94</v>
      </c>
      <c r="C59" s="2">
        <f ca="1">IFERROR(__xludf.DUMMYFUNCTION("GOOGLEFINANCE(A59,""eps"")"),3.26)</f>
        <v>3.26</v>
      </c>
      <c r="D59" s="2">
        <v>6.48</v>
      </c>
      <c r="E59" s="50">
        <f ca="1">(C59*(I1+(D59*I2))*I3)/I4</f>
        <v>43.45103820224719</v>
      </c>
      <c r="F59" s="51">
        <f t="shared" ca="1" si="0"/>
        <v>0.60398996667010274</v>
      </c>
      <c r="G59" s="56" t="str">
        <f ca="1">IF(F59&gt;I5,"Buy","Sell")</f>
        <v>Sell</v>
      </c>
    </row>
    <row r="60" spans="1:7">
      <c r="A60" s="94" t="s">
        <v>104</v>
      </c>
      <c r="B60" s="95">
        <f ca="1">IFERROR(__xludf.DUMMYFUNCTION("GOOGLEFINANCE(""DUK"")"),97.64)</f>
        <v>97.64</v>
      </c>
      <c r="C60" s="2">
        <f ca="1">IFERROR(__xludf.DUMMYFUNCTION("GOOGLEFINANCE(A60,""eps"")"),4.89)</f>
        <v>4.8899999999999997</v>
      </c>
      <c r="D60" s="2">
        <v>5.45</v>
      </c>
      <c r="E60" s="50">
        <f ca="1">(C60*(I1+(D60*I2))*I3)/I4</f>
        <v>60.196449438202237</v>
      </c>
      <c r="F60" s="51">
        <f t="shared" ca="1" si="0"/>
        <v>0.61651423021509866</v>
      </c>
      <c r="G60" s="56" t="str">
        <f ca="1">IF(F60&gt;I5,"Buy","Sell")</f>
        <v>Sell</v>
      </c>
    </row>
    <row r="61" spans="1:7">
      <c r="A61" s="94" t="s">
        <v>105</v>
      </c>
      <c r="B61" s="95">
        <f ca="1">IFERROR(__xludf.DUMMYFUNCTION("GOOGLEFINANCE(""EIX"")"),71.61)</f>
        <v>71.61</v>
      </c>
      <c r="C61" s="2">
        <f ca="1">IFERROR(__xludf.DUMMYFUNCTION("GOOGLEFINANCE(A61,""eps"")"),1.6)</f>
        <v>1.6</v>
      </c>
      <c r="D61" s="2">
        <v>3.92</v>
      </c>
      <c r="E61" s="50">
        <f ca="1">(C61*(I1+(D61*I2))*I3)/I4</f>
        <v>17.275685393258431</v>
      </c>
      <c r="F61" s="51">
        <f t="shared" ca="1" si="0"/>
        <v>0.24124682856107291</v>
      </c>
      <c r="G61" s="56" t="str">
        <f ca="1">IF(F61&gt;I5,"Buy","Sell")</f>
        <v>Sell</v>
      </c>
    </row>
    <row r="62" spans="1:7">
      <c r="A62" s="94" t="s">
        <v>106</v>
      </c>
      <c r="B62" s="95">
        <f ca="1">IFERROR(__xludf.DUMMYFUNCTION("GOOGLEFINANCE(""awr"")"),91.21)</f>
        <v>91.21</v>
      </c>
      <c r="C62" s="2">
        <f ca="1">IFERROR(__xludf.DUMMYFUNCTION("GOOGLEFINANCE(A62,""eps"")"),2.11)</f>
        <v>2.11</v>
      </c>
      <c r="D62" s="2">
        <v>4.4000000000000004</v>
      </c>
      <c r="E62" s="50">
        <f ca="1">(C62*(I1+(D62*I2))*I3)/I4</f>
        <v>23.783730337078651</v>
      </c>
      <c r="F62" s="51">
        <f t="shared" ca="1" si="0"/>
        <v>0.26075792497619399</v>
      </c>
      <c r="G62" s="56" t="str">
        <f ca="1">IF(F62&gt;I5,"Buy","Sell")</f>
        <v>Sell</v>
      </c>
    </row>
    <row r="63" spans="1:7">
      <c r="A63" s="94" t="s">
        <v>107</v>
      </c>
      <c r="B63" s="95">
        <f ca="1">IFERROR(__xludf.DUMMYFUNCTION("GOOGLEFINANCE(""NWN"")"),47.05)</f>
        <v>47.05</v>
      </c>
      <c r="C63" s="2">
        <f ca="1">IFERROR(__xludf.DUMMYFUNCTION("GOOGLEFINANCE(A63,""eps"")"),2.54)</f>
        <v>2.54</v>
      </c>
      <c r="D63" s="2">
        <v>4.3</v>
      </c>
      <c r="E63" s="50">
        <f ca="1">(C63*(I1+(D63*I2))*I3)/I4</f>
        <v>28.379505617977532</v>
      </c>
      <c r="F63" s="51">
        <f t="shared" ca="1" si="0"/>
        <v>0.60317759018018136</v>
      </c>
      <c r="G63" s="56" t="str">
        <f ca="1">IF(F63&gt;I5,"Buy","Sell")</f>
        <v>Sell</v>
      </c>
    </row>
    <row r="64" spans="1:7">
      <c r="A64" s="96" t="s">
        <v>108</v>
      </c>
      <c r="B64" s="97">
        <f ca="1">IFERROR(__xludf.DUMMYFUNCTION("GOOGLEFINANCE(""APD"")"),286.21)</f>
        <v>286.20999999999998</v>
      </c>
      <c r="C64" s="31">
        <f ca="1">IFERROR(__xludf.DUMMYFUNCTION("GOOGLEFINANCE(A64,""eps"")"),10.19)</f>
        <v>10.19</v>
      </c>
      <c r="D64" s="31">
        <v>8.7899999999999991</v>
      </c>
      <c r="E64" s="98">
        <f ca="1">(C64*(I1+(D64*I2))*I3)/I4</f>
        <v>159.09223370786515</v>
      </c>
      <c r="F64" s="99">
        <f t="shared" ca="1" si="0"/>
        <v>0.55585840364720018</v>
      </c>
      <c r="G64" s="100" t="str">
        <f ca="1">IF(F64&gt;I5,"Buy","Sell")</f>
        <v>Sell</v>
      </c>
    </row>
  </sheetData>
  <conditionalFormatting sqref="G3:G64">
    <cfRule type="containsText" dxfId="14" priority="1" operator="containsText" text="Buy">
      <formula>NOT(ISERROR(SEARCH(("Buy"),(G3))))</formula>
    </cfRule>
  </conditionalFormatting>
  <conditionalFormatting sqref="G3:G64">
    <cfRule type="containsText" dxfId="13" priority="2" operator="containsText" text="Sell">
      <formula>NOT(ISERROR(SEARCH(("Sell"),(G3))))</formula>
    </cfRule>
  </conditionalFormatting>
  <conditionalFormatting sqref="G3:G64">
    <cfRule type="containsText" dxfId="12" priority="3" operator="containsText" text="X">
      <formula>NOT(ISERROR(SEARCH(("X"),(G3))))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96"/>
  <sheetViews>
    <sheetView workbookViewId="0"/>
  </sheetViews>
  <sheetFormatPr defaultColWidth="12.5703125" defaultRowHeight="15.75" customHeight="1"/>
  <sheetData>
    <row r="1" spans="1:17" ht="12.75">
      <c r="B1" s="101" t="s">
        <v>109</v>
      </c>
      <c r="C1" s="101" t="s">
        <v>110</v>
      </c>
    </row>
    <row r="2" spans="1:17" ht="15.75" customHeight="1">
      <c r="A2" s="102" t="str">
        <f>Divident_all!B3</f>
        <v>AMD</v>
      </c>
      <c r="B2" s="103">
        <f>PRODUCT(('2022'!F37),100)/Q_investment!G3</f>
        <v>2.5963808025177024</v>
      </c>
      <c r="C2" s="104">
        <f>PRODUCT(('2023'!F39),100)/Q_investment!L3</f>
        <v>6.45</v>
      </c>
    </row>
    <row r="3" spans="1:17" ht="15.75" customHeight="1">
      <c r="A3" s="105" t="e">
        <f>Divident_all!#REF!</f>
        <v>#REF!</v>
      </c>
      <c r="B3" s="106">
        <f>PRODUCT(('2022'!F38),100)/Q_investment!G4</f>
        <v>0.79426578845408757</v>
      </c>
      <c r="C3" s="107">
        <f>PRODUCT(('2023'!F40),100)/Q_investment!L4</f>
        <v>2.8000000000000003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</row>
    <row r="4" spans="1:17" ht="15.75" customHeight="1">
      <c r="A4" s="109" t="e">
        <f>Divident_all!#REF!</f>
        <v>#REF!</v>
      </c>
      <c r="B4" s="106">
        <f>PRODUCT(('2022'!F39),100)/Q_investment!G5</f>
        <v>0</v>
      </c>
      <c r="C4" s="107">
        <f>PRODUCT(('2023'!F41),100)/Q_investment!L5</f>
        <v>1</v>
      </c>
    </row>
    <row r="5" spans="1:17" ht="15.75" customHeight="1">
      <c r="A5" s="105" t="e">
        <f>Divident_all!#REF!</f>
        <v>#REF!</v>
      </c>
      <c r="B5" s="106">
        <f>PRODUCT(('2022'!F40),100)/Q_investment!G6</f>
        <v>0.55360767669311683</v>
      </c>
      <c r="C5" s="107">
        <f>PRODUCT(('2023'!F42),100)/Q_investment!L6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</row>
    <row r="6" spans="1:17" ht="15.75" customHeight="1">
      <c r="A6" s="109" t="e">
        <f>Divident_all!#REF!</f>
        <v>#REF!</v>
      </c>
      <c r="B6" s="106">
        <f>PRODUCT(('2022'!F41),100)/Q_investment!G7</f>
        <v>1.7</v>
      </c>
      <c r="C6" s="107">
        <f>PRODUCT(('2023'!F43),100)/Q_investment!L7</f>
        <v>2.3458810692853249</v>
      </c>
    </row>
    <row r="7" spans="1:17" ht="15.75" customHeight="1">
      <c r="A7" s="105" t="e">
        <f>Divident_all!#REF!</f>
        <v>#REF!</v>
      </c>
      <c r="B7" s="106">
        <f>PRODUCT(('2022'!F42),100)/Q_investment!G8</f>
        <v>0.36</v>
      </c>
      <c r="C7" s="107">
        <f>PRODUCT(('2023'!F44),100)/Q_investment!L8</f>
        <v>0.50050050050050054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</row>
    <row r="8" spans="1:17" ht="15.75" customHeight="1">
      <c r="A8" s="109" t="e">
        <f>Divident_all!#REF!</f>
        <v>#REF!</v>
      </c>
      <c r="B8" s="106">
        <f>PRODUCT(('2022'!F43),100)/Q_investment!G9</f>
        <v>0.93263111696291423</v>
      </c>
      <c r="C8" s="107">
        <f>PRODUCT(('2023'!F45),100)/Q_investment!L9</f>
        <v>2.6</v>
      </c>
    </row>
    <row r="9" spans="1:17" ht="15.75" customHeight="1">
      <c r="A9" s="105" t="e">
        <f>Divident_all!#REF!</f>
        <v>#REF!</v>
      </c>
      <c r="B9" s="106">
        <f>PRODUCT(('2022'!F44),100)/Q_investment!G10</f>
        <v>0.78832803859277567</v>
      </c>
      <c r="C9" s="107">
        <f>PRODUCT(('2023'!F46),100)/Q_investment!L10</f>
        <v>4.2857142857142856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</row>
    <row r="10" spans="1:17" ht="15.75" customHeight="1">
      <c r="A10" s="109" t="e">
        <f>Divident_all!#REF!</f>
        <v>#REF!</v>
      </c>
      <c r="B10" s="106">
        <f>PRODUCT(('2022'!F45),100)/Q_investment!G11</f>
        <v>0.65454545454545454</v>
      </c>
      <c r="C10" s="107">
        <f ca="1">PRODUCT(('2023'!F4),100)/Q_investment!L11</f>
        <v>3.8347132701187068</v>
      </c>
    </row>
    <row r="11" spans="1:17" ht="15.75" customHeight="1">
      <c r="A11" s="105" t="e">
        <f>Divident_all!#REF!</f>
        <v>#REF!</v>
      </c>
      <c r="B11" s="106">
        <f>PRODUCT(('2022'!F46),100)/Q_investment!G12</f>
        <v>0.67284960901982183</v>
      </c>
      <c r="C11" s="107">
        <f>PRODUCT(('2023'!F48),100)/Q_investment!L12</f>
        <v>5.2017339113037684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</row>
    <row r="12" spans="1:17" ht="15.75" customHeight="1">
      <c r="A12" s="109" t="e">
        <f>Divident_all!#REF!</f>
        <v>#REF!</v>
      </c>
      <c r="B12" s="106">
        <f>PRODUCT(('2022'!F47),100)/Q_investment!G13</f>
        <v>0.9</v>
      </c>
      <c r="C12" s="107">
        <f>PRODUCT(('2023'!F49),100)/Q_investment!L13</f>
        <v>2.7142857142857144</v>
      </c>
    </row>
    <row r="13" spans="1:17" ht="15.75" customHeight="1">
      <c r="A13" s="105" t="e">
        <f>Divident_all!#REF!</f>
        <v>#REF!</v>
      </c>
      <c r="B13" s="106">
        <f>PRODUCT(('2022'!F48),100)/Q_investment!G14</f>
        <v>0.43552357508047718</v>
      </c>
      <c r="C13" s="107">
        <f>PRODUCT(('2023'!F50),100)/Q_investment!L14</f>
        <v>3.45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</row>
    <row r="14" spans="1:17" ht="15.75" customHeight="1">
      <c r="A14" s="109" t="e">
        <f>Divident_all!#REF!</f>
        <v>#REF!</v>
      </c>
      <c r="B14" s="106">
        <f>PRODUCT(('2022'!F49),100)/Q_investment!G15</f>
        <v>0.34596090641757482</v>
      </c>
      <c r="C14" s="107">
        <f>PRODUCT(('2023'!F51),100)/Q_investment!L15</f>
        <v>1.5</v>
      </c>
    </row>
    <row r="15" spans="1:17" ht="15.75" customHeight="1">
      <c r="A15" s="105" t="e">
        <f>Divident_all!#REF!</f>
        <v>#REF!</v>
      </c>
      <c r="B15" s="106">
        <f>PRODUCT(('2022'!F50),100)/Q_investment!G16</f>
        <v>0.39823008849557523</v>
      </c>
      <c r="C15" s="107">
        <f>PRODUCT(('2023'!F52),100)/Q_investment!L16</f>
        <v>2.4666666666666668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</row>
    <row r="16" spans="1:17" ht="15.75" customHeight="1">
      <c r="A16" s="109" t="e">
        <f>Divident_all!#REF!</f>
        <v>#REF!</v>
      </c>
      <c r="B16" s="106">
        <f>PRODUCT(('2022'!F51),100)/Q_investment!G17</f>
        <v>0</v>
      </c>
      <c r="C16" s="107">
        <f>PRODUCT(('2023'!F53),100)/Q_investment!L17</f>
        <v>2</v>
      </c>
    </row>
    <row r="17" spans="1:17" ht="15.75" customHeight="1">
      <c r="A17" s="105" t="e">
        <f>Divident_all!#REF!</f>
        <v>#REF!</v>
      </c>
      <c r="B17" s="106">
        <f>PRODUCT(('2022'!F52),100)/Q_investment!G18</f>
        <v>0.3</v>
      </c>
      <c r="C17" s="107">
        <f>PRODUCT(('2023'!F54),100)/Q_investment!L18</f>
        <v>1.24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1:17" ht="15.75" customHeight="1">
      <c r="A18" s="109" t="e">
        <f>Divident_all!#REF!</f>
        <v>#REF!</v>
      </c>
      <c r="B18" s="106">
        <f>PRODUCT(('2022'!F53),100)/Q_investment!G19</f>
        <v>0</v>
      </c>
      <c r="C18" s="107">
        <f>PRODUCT(('2023'!F55),100)/Q_investment!L19</f>
        <v>0.55000000000000004</v>
      </c>
    </row>
    <row r="19" spans="1:17" ht="15.75" customHeight="1">
      <c r="A19" s="105" t="e">
        <f>Divident_all!#REF!</f>
        <v>#REF!</v>
      </c>
      <c r="B19" s="106">
        <f>PRODUCT(('2022'!F54),100)/Q_investment!G20</f>
        <v>2.7031665665493865</v>
      </c>
      <c r="C19" s="107">
        <f>PRODUCT(('2023'!F56),100)/Q_investment!L20</f>
        <v>1.0285714285714285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</row>
    <row r="20" spans="1:17" ht="15.75" customHeight="1">
      <c r="A20" s="109" t="e">
        <f>Divident_all!#REF!</f>
        <v>#REF!</v>
      </c>
      <c r="B20" s="106">
        <f>PRODUCT(('2022'!F55),100)/Q_investment!G21</f>
        <v>0.63636363636363635</v>
      </c>
      <c r="C20" s="107" t="e">
        <f>PRODUCT(('2023'!F57),100)/Q_investment!L21</f>
        <v>#DIV/0!</v>
      </c>
    </row>
    <row r="21" spans="1:17" ht="15.75" customHeight="1">
      <c r="A21" s="105" t="e">
        <f>Divident_all!#REF!</f>
        <v>#REF!</v>
      </c>
      <c r="B21" s="106">
        <f>PRODUCT(('2022'!F56),100)/Q_investment!G22</f>
        <v>1.3142857142857143</v>
      </c>
      <c r="C21" s="107">
        <f>PRODUCT(('2023'!F58),100)/Q_investment!L22</f>
        <v>2.0571428571428569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</row>
    <row r="22" spans="1:17" ht="15.75" customHeight="1">
      <c r="A22" s="109" t="e">
        <f>Divident_all!#REF!</f>
        <v>#REF!</v>
      </c>
      <c r="B22" s="106">
        <f>PRODUCT(('2022'!F57),100)/Q_investment!G23</f>
        <v>0.66666666666666663</v>
      </c>
      <c r="C22" s="107">
        <f>PRODUCT(('2023'!F59),100)/Q_investment!L23</f>
        <v>1.05</v>
      </c>
    </row>
    <row r="23" spans="1:17" ht="15.75" customHeight="1">
      <c r="A23" s="105" t="e">
        <f>Divident_all!#REF!</f>
        <v>#REF!</v>
      </c>
      <c r="B23" s="106">
        <f>PRODUCT(('2022'!F58),100)/Q_investment!G24</f>
        <v>1</v>
      </c>
      <c r="C23" s="107">
        <f>PRODUCT(('2023'!F60),100)/Q_investment!L24</f>
        <v>1.5275504637206767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</row>
    <row r="24" spans="1:17" ht="15.75" customHeight="1">
      <c r="A24" s="109" t="e">
        <f>Divident_all!#REF!</f>
        <v>#REF!</v>
      </c>
      <c r="B24" s="106">
        <f>PRODUCT(('2022'!F59),100)/Q_investment!G25</f>
        <v>1.2670890296765589</v>
      </c>
      <c r="C24" s="107">
        <f>PRODUCT(('2023'!F61),100)/Q_investment!L25</f>
        <v>2.0185488270594658</v>
      </c>
    </row>
    <row r="25" spans="1:17" ht="15.75" customHeight="1">
      <c r="A25" s="105" t="e">
        <f>Divident_all!#REF!</f>
        <v>#REF!</v>
      </c>
      <c r="B25" s="106">
        <f>PRODUCT(('2022'!F60),100)/Q_investment!G26</f>
        <v>1.5883925162275678</v>
      </c>
      <c r="C25" s="107">
        <f>PRODUCT(('2023'!F62),100)/Q_investment!L26</f>
        <v>5.28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</row>
    <row r="26" spans="1:17" ht="15.75" customHeight="1">
      <c r="A26" s="109" t="e">
        <f>Divident_all!#REF!</f>
        <v>#REF!</v>
      </c>
      <c r="B26" s="106">
        <v>0</v>
      </c>
      <c r="C26" s="107">
        <f>PRODUCT(('2023'!F63),100)/Q_investment!L27</f>
        <v>1.4911802145844701</v>
      </c>
    </row>
    <row r="27" spans="1:17" ht="15.75" customHeight="1">
      <c r="A27" s="105" t="e">
        <f>Divident_all!#REF!</f>
        <v>#REF!</v>
      </c>
      <c r="B27" s="106">
        <f>PRODUCT(('2022'!F62),100)/Q_investment!G28</f>
        <v>0.43644298963447903</v>
      </c>
      <c r="C27" s="107">
        <f>PRODUCT(('2023'!F64),100)/Q_investment!L28</f>
        <v>1.56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17" ht="15.75" customHeight="1">
      <c r="A28" s="109" t="e">
        <f>Divident_all!#REF!</f>
        <v>#REF!</v>
      </c>
      <c r="B28" s="106">
        <f>PRODUCT(('2022'!F63),100)/Q_investment!G29</f>
        <v>1.7005668556185396</v>
      </c>
      <c r="C28" s="107">
        <f>PRODUCT(('2023'!F65),100)/Q_investment!L29</f>
        <v>2.4508169389796599</v>
      </c>
    </row>
    <row r="29" spans="1:17" ht="15.75" customHeight="1">
      <c r="A29" s="105" t="e">
        <f>Divident_all!#REF!</f>
        <v>#REF!</v>
      </c>
      <c r="B29" s="106">
        <f>PRODUCT(('2022'!F64),100)/Q_investment!G30</f>
        <v>0</v>
      </c>
      <c r="C29" s="107">
        <f>PRODUCT(('2023'!F66),100)/Q_investment!L30</f>
        <v>0.4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</row>
    <row r="30" spans="1:17" ht="15.75" customHeight="1">
      <c r="A30" s="109" t="e">
        <f>Divident_all!#REF!</f>
        <v>#REF!</v>
      </c>
      <c r="B30" s="106">
        <f>PRODUCT(('2022'!F65),100)/Q_investment!G31</f>
        <v>0.95011876484560565</v>
      </c>
      <c r="C30" s="107">
        <f>PRODUCT(('2023'!F67),100)/Q_investment!L31</f>
        <v>15.466666666666665</v>
      </c>
    </row>
    <row r="31" spans="1:17" ht="15.75" customHeight="1">
      <c r="A31" s="105" t="e">
        <f>Divident_all!#REF!</f>
        <v>#REF!</v>
      </c>
      <c r="B31" s="106">
        <f>PRODUCT(('2022'!F66),100)/Q_investment!G32</f>
        <v>0.95</v>
      </c>
      <c r="C31" s="107">
        <f>PRODUCT(('2023'!F68),100)/Q_investment!L32</f>
        <v>1.3602720544108824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</row>
    <row r="32" spans="1:17" ht="15.75" customHeight="1">
      <c r="A32" s="105" t="e">
        <f>Divident_all!#REF!</f>
        <v>#REF!</v>
      </c>
      <c r="B32" s="106">
        <f>PRODUCT(('2022'!F67),100)/Q_investment!G33</f>
        <v>0.47357454063269561</v>
      </c>
      <c r="C32" s="107">
        <f>PRODUCT(('2023'!F69),100)/Q_investment!L33</f>
        <v>1.0010010010010011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</row>
    <row r="33" spans="1:17" ht="15.75" customHeight="1">
      <c r="A33" s="109" t="e">
        <f>Divident_all!#REF!</f>
        <v>#REF!</v>
      </c>
      <c r="B33" s="106">
        <f>PRODUCT(('2022'!F68),100)/Q_investment!G34</f>
        <v>0.40040040040040037</v>
      </c>
      <c r="C33" s="107">
        <f>PRODUCT(('2023'!F70),100)/Q_investment!L34</f>
        <v>0.60060060060060061</v>
      </c>
    </row>
    <row r="34" spans="1:17" ht="15.75" customHeight="1">
      <c r="A34" s="105" t="e">
        <f>Divident_all!#REF!</f>
        <v>#REF!</v>
      </c>
      <c r="B34" s="106">
        <f>PRODUCT(('2022'!F69),100)/Q_investment!G35</f>
        <v>0.53333333333333333</v>
      </c>
      <c r="C34" s="107">
        <f>PRODUCT(('2023'!F71),100)/Q_investment!L35</f>
        <v>0.8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</row>
    <row r="35" spans="1:17" ht="15.75" customHeight="1">
      <c r="A35" s="105" t="e">
        <f>Divident_all!#REF!</f>
        <v>#REF!</v>
      </c>
      <c r="B35" s="106">
        <f>PRODUCT(('2022'!F70),100)/Q_investment!G36</f>
        <v>0.53333333333333333</v>
      </c>
      <c r="C35" s="107">
        <f>PRODUCT(('2023'!F72),100)/Q_investment!L36</f>
        <v>0.8666666666666667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</row>
    <row r="36" spans="1:17" ht="17.25">
      <c r="A36" s="109" t="e">
        <f>Divident_all!#REF!</f>
        <v>#REF!</v>
      </c>
      <c r="B36" s="106">
        <f>PRODUCT(('2022'!F71),100)/Q_investment!G37</f>
        <v>0.30909090909090908</v>
      </c>
      <c r="C36" s="107">
        <f>PRODUCT(('2023'!F73),100)/Q_investment!L37</f>
        <v>1.7333333333333334</v>
      </c>
    </row>
    <row r="37" spans="1:17" ht="17.25">
      <c r="A37" s="105" t="e">
        <f>Divident_all!#REF!</f>
        <v>#REF!</v>
      </c>
      <c r="B37" s="106">
        <f>PRODUCT(('2022'!F72),100)/Q_investment!G38</f>
        <v>0.20004445432318296</v>
      </c>
      <c r="C37" s="107">
        <f>PRODUCT(('2023'!F74),100)/Q_investment!L38</f>
        <v>1.2012012012012012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</row>
    <row r="38" spans="1:17" ht="17.25">
      <c r="A38" s="109" t="e">
        <f>Divident_all!#REF!</f>
        <v>#REF!</v>
      </c>
      <c r="B38" s="106">
        <f>PRODUCT(('2022'!F73),100)/Q_investment!G39</f>
        <v>0.4</v>
      </c>
      <c r="C38" s="107">
        <f>PRODUCT(('2023'!F75),100)/Q_investment!L39</f>
        <v>1.4666666666666666</v>
      </c>
    </row>
    <row r="39" spans="1:17" ht="17.25">
      <c r="A39" s="105" t="e">
        <f>Divident_all!#REF!</f>
        <v>#REF!</v>
      </c>
      <c r="B39" s="106">
        <f>PRODUCT(('2022'!F74),100)/Q_investment!G40</f>
        <v>0.91545503500269254</v>
      </c>
      <c r="C39" s="107">
        <f>PRODUCT(('2023'!F76),100)/Q_investment!L40</f>
        <v>1.9751975197519751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</row>
    <row r="40" spans="1:17" ht="17.25">
      <c r="A40" s="109" t="e">
        <f>Divident_all!#REF!</f>
        <v>#REF!</v>
      </c>
      <c r="B40" s="106">
        <f>PRODUCT(('2022'!F75),100)/Q_investment!G41</f>
        <v>0</v>
      </c>
      <c r="C40" s="107">
        <f>PRODUCT(('2023'!F77),100)/Q_investment!L41</f>
        <v>0.48</v>
      </c>
    </row>
    <row r="41" spans="1:17" ht="17.25">
      <c r="A41" s="105" t="e">
        <f>Divident_all!#REF!</f>
        <v>#REF!</v>
      </c>
      <c r="B41" s="106">
        <f>PRODUCT(('2022'!F76),100)/Q_investment!G42</f>
        <v>1.7785682525566917</v>
      </c>
      <c r="C41" s="107">
        <f>PRODUCT(('2023'!F78),100)/Q_investment!L42</f>
        <v>4.0680226742247418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</row>
    <row r="42" spans="1:17" ht="17.25">
      <c r="A42" s="109" t="e">
        <f>Divident_all!#REF!</f>
        <v>#REF!</v>
      </c>
      <c r="B42" s="106">
        <f>PRODUCT(('2022'!F77),100)/Q_investment!G43</f>
        <v>0.52323791935980313</v>
      </c>
      <c r="C42" s="107">
        <f>PRODUCT(('2023'!F79),100)/Q_investment!L43</f>
        <v>2.36</v>
      </c>
    </row>
    <row r="43" spans="1:17" ht="17.25">
      <c r="A43" s="105" t="e">
        <f>Divident_all!#REF!</f>
        <v>#REF!</v>
      </c>
      <c r="B43" s="106">
        <f>PRODUCT(('2022'!F78),100)/Q_investment!G44</f>
        <v>0.56521739130434767</v>
      </c>
      <c r="C43" s="107">
        <f>PRODUCT(('2023'!F80),100)/Q_investment!L44</f>
        <v>1.4438549186744369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</row>
    <row r="44" spans="1:17" ht="17.25">
      <c r="A44" s="109" t="e">
        <f>Divident_all!#REF!</f>
        <v>#REF!</v>
      </c>
      <c r="B44" s="106">
        <f>PRODUCT(('2022'!F79),100)/Q_investment!G45</f>
        <v>1.1724137931034482</v>
      </c>
      <c r="C44" s="107">
        <f>PRODUCT(('2023'!F81),100)/Q_investment!L45</f>
        <v>1.0826076723935045</v>
      </c>
    </row>
    <row r="45" spans="1:17" ht="17.25">
      <c r="A45" s="105" t="e">
        <f>Divident_all!#REF!</f>
        <v>#REF!</v>
      </c>
      <c r="B45" s="106">
        <f>PRODUCT(('2022'!F80),100)/Q_investment!G46</f>
        <v>1.8571428571428572</v>
      </c>
      <c r="C45" s="107">
        <f>PRODUCT(('2023'!F82),100)/Q_investment!L46</f>
        <v>4.5348449483161053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</row>
    <row r="46" spans="1:17" ht="17.25">
      <c r="A46" s="109" t="e">
        <f>Divident_all!#REF!</f>
        <v>#REF!</v>
      </c>
      <c r="B46" s="106">
        <f>PRODUCT(('2022'!F81),100)/Q_investment!G47</f>
        <v>1.9024390243902438</v>
      </c>
      <c r="C46" s="107">
        <f>PRODUCT(('2023'!F83),100)/Q_investment!L47</f>
        <v>6.8</v>
      </c>
    </row>
    <row r="47" spans="1:17" ht="17.25">
      <c r="A47" s="105" t="e">
        <f>Divident_all!#REF!</f>
        <v>#REF!</v>
      </c>
      <c r="B47" s="106">
        <f>PRODUCT(('2022'!F82),100)/Q_investment!G48</f>
        <v>2.5344827586206895</v>
      </c>
      <c r="C47" s="107">
        <f>PRODUCT(('2023'!F84),100)/Q_investment!L48</f>
        <v>5.9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</row>
    <row r="48" spans="1:17" ht="17.25">
      <c r="A48" s="109" t="e">
        <f>Divident_all!#REF!</f>
        <v>#REF!</v>
      </c>
      <c r="B48" s="106">
        <f>PRODUCT(('2022'!F83),100)/Q_investment!G49</f>
        <v>0.7710280373831776</v>
      </c>
      <c r="C48" s="107">
        <f>PRODUCT(('2023'!F85),100)/Q_investment!L49</f>
        <v>1.5</v>
      </c>
    </row>
    <row r="49" spans="1:17" ht="17.25">
      <c r="A49" s="105" t="e">
        <f>Divident_all!#REF!</f>
        <v>#REF!</v>
      </c>
      <c r="B49" s="106">
        <f>PRODUCT(('2022'!F84),100)/Q_investment!G50</f>
        <v>0.30308770600492518</v>
      </c>
      <c r="C49" s="107">
        <f>PRODUCT(('2023'!F86),100)/Q_investment!L50</f>
        <v>1.4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</row>
    <row r="50" spans="1:17" ht="17.25">
      <c r="A50" s="109" t="e">
        <f>Divident_all!#REF!</f>
        <v>#REF!</v>
      </c>
      <c r="B50" s="106">
        <f>PRODUCT(('2022'!F85),100)/Q_investment!G51</f>
        <v>0.22632311977715874</v>
      </c>
      <c r="C50" s="107">
        <f>PRODUCT(('2023'!F87),100)/Q_investment!L51</f>
        <v>0.90090090090090091</v>
      </c>
    </row>
    <row r="51" spans="1:17" ht="17.25">
      <c r="A51" s="105" t="e">
        <f>Divident_all!#REF!</f>
        <v>#REF!</v>
      </c>
      <c r="B51" s="106">
        <f>PRODUCT(('2022'!F86),100)/Q_investment!G52</f>
        <v>0.13262599469496023</v>
      </c>
      <c r="C51" s="107">
        <f>PRODUCT(('2023'!F88),100)/Q_investment!L52</f>
        <v>0.25025025025025027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</row>
    <row r="52" spans="1:17" ht="17.25">
      <c r="A52" s="109" t="e">
        <f>Divident_all!#REF!</f>
        <v>#REF!</v>
      </c>
      <c r="B52" s="106">
        <f>PRODUCT(('2022'!F87),100)/Q_investment!G53</f>
        <v>1.05</v>
      </c>
      <c r="C52" s="107">
        <f>PRODUCT(('2023'!F89),100)/Q_investment!L53</f>
        <v>1.4366248408801601</v>
      </c>
    </row>
    <row r="53" spans="1:17" ht="17.25">
      <c r="A53" s="105" t="e">
        <f>Divident_all!#REF!</f>
        <v>#REF!</v>
      </c>
      <c r="B53" s="106">
        <f>PRODUCT(('2022'!F88),100)/Q_investment!G54</f>
        <v>0.42339243186028053</v>
      </c>
      <c r="C53" s="107">
        <f>PRODUCT(('2023'!F90),100)/Q_investment!L54</f>
        <v>1.0571428571428572</v>
      </c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</row>
    <row r="54" spans="1:17" ht="17.25">
      <c r="A54" s="109" t="e">
        <f>Divident_all!#REF!</f>
        <v>#REF!</v>
      </c>
      <c r="B54" s="106">
        <f>PRODUCT(('2022'!F89),100)/Q_investment!G55</f>
        <v>0.28079132099553289</v>
      </c>
      <c r="C54" s="107" t="e">
        <f>PRODUCT(('2023'!F91),100)/Q_investment!L55</f>
        <v>#DIV/0!</v>
      </c>
    </row>
    <row r="55" spans="1:17" ht="17.25">
      <c r="A55" s="105" t="e">
        <f>Divident_all!#REF!</f>
        <v>#REF!</v>
      </c>
      <c r="B55" s="106">
        <f>PRODUCT(('2022'!F90),100)/Q_investment!G56</f>
        <v>0.50769230769230766</v>
      </c>
      <c r="C55" s="107">
        <f>PRODUCT(('2023'!F92),100)/Q_investment!L56</f>
        <v>2.16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</row>
    <row r="56" spans="1:17" ht="17.25">
      <c r="A56" s="109" t="e">
        <f>Divident_all!#REF!</f>
        <v>#REF!</v>
      </c>
      <c r="B56" s="106">
        <f>PRODUCT(('2022'!F91),100)/Q_investment!G57</f>
        <v>0.7815956348621147</v>
      </c>
      <c r="C56" s="107">
        <f>PRODUCT(('2023'!F93),100)/Q_investment!L57</f>
        <v>3.1010336778926311</v>
      </c>
    </row>
    <row r="57" spans="1:17" ht="17.25">
      <c r="A57" s="105" t="e">
        <f>Divident_all!#REF!</f>
        <v>#REF!</v>
      </c>
      <c r="B57" s="106">
        <f>PRODUCT(('2022'!F92),100)/Q_investment!G58</f>
        <v>0.70909090909090911</v>
      </c>
      <c r="C57" s="107">
        <f>PRODUCT(('2023'!F94),100)/Q_investment!L58</f>
        <v>2.5008336112037348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</row>
    <row r="58" spans="1:17" ht="17.25">
      <c r="A58" s="109" t="e">
        <f>Divident_all!#REF!</f>
        <v>#REF!</v>
      </c>
      <c r="B58" s="106">
        <f>PRODUCT(('2022'!F93),100)/Q_investment!G59</f>
        <v>0.9</v>
      </c>
      <c r="C58" s="107">
        <f>PRODUCT(('2023'!F95),100)/Q_investment!L59</f>
        <v>1.3333333333333333</v>
      </c>
    </row>
    <row r="59" spans="1:17" ht="17.25">
      <c r="A59" s="105" t="e">
        <f>Divident_all!#REF!</f>
        <v>#REF!</v>
      </c>
      <c r="B59" s="106">
        <f>PRODUCT(('2022'!F94),100)/Q_investment!G60</f>
        <v>0.95</v>
      </c>
      <c r="C59" s="107">
        <f>PRODUCT(('2023'!F96),100)/Q_investment!L60</f>
        <v>1.3750000000000002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</row>
    <row r="60" spans="1:17" ht="17.25">
      <c r="A60" s="109" t="e">
        <f>Divident_all!#REF!</f>
        <v>#REF!</v>
      </c>
      <c r="B60" s="106">
        <f>PRODUCT(('2022'!F95),100)/Q_investment!G61</f>
        <v>0</v>
      </c>
      <c r="C60" s="107">
        <f>PRODUCT(('2023'!F97),100)/Q_investment!L61</f>
        <v>0.66681484774394317</v>
      </c>
    </row>
    <row r="61" spans="1:17" ht="17.25">
      <c r="A61" s="105" t="e">
        <f>Divident_all!#REF!</f>
        <v>#REF!</v>
      </c>
      <c r="B61" s="106">
        <f>PRODUCT(('2022'!F96),100)/Q_investment!G62</f>
        <v>0.40040040040040037</v>
      </c>
      <c r="C61" s="107">
        <f>PRODUCT(('2023'!F98),100)/Q_investment!L62</f>
        <v>0.60060060060060061</v>
      </c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</row>
    <row r="62" spans="1:17" ht="17.25">
      <c r="A62" s="109" t="e">
        <f>Divident_all!#REF!</f>
        <v>#REF!</v>
      </c>
      <c r="B62" s="106">
        <f>PRODUCT(('2022'!F97),100)/Q_investment!G63</f>
        <v>0.36</v>
      </c>
      <c r="C62" s="107">
        <f>PRODUCT(('2023'!F99),100)/Q_investment!L63</f>
        <v>1.1573081868838406</v>
      </c>
    </row>
    <row r="63" spans="1:17" ht="17.25">
      <c r="A63" s="110" t="e">
        <f>Divident_all!#REF!</f>
        <v>#REF!</v>
      </c>
      <c r="B63" s="111">
        <f>PRODUCT(('2022'!F98),100)/Q_investment!G64</f>
        <v>0.44210526315789472</v>
      </c>
      <c r="C63" s="112">
        <f>PRODUCT(('2023'!F100),100)/Q_investment!L64</f>
        <v>3.3333333333333335</v>
      </c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</row>
    <row r="64" spans="1:17" ht="17.25">
      <c r="A64" s="113" t="s">
        <v>111</v>
      </c>
      <c r="B64" s="113">
        <f t="shared" ref="B64:C64" si="0">SUM(B2:B63)/62</f>
        <v>0.75777875685745066</v>
      </c>
      <c r="C64" s="113" t="e">
        <f t="shared" ca="1" si="0"/>
        <v>#DIV/0!</v>
      </c>
    </row>
    <row r="996" spans="1:1" ht="17.25">
      <c r="A996" s="114">
        <f>Divident_all!B935</f>
        <v>0</v>
      </c>
    </row>
  </sheetData>
  <conditionalFormatting sqref="B2:C63">
    <cfRule type="containsBlanks" dxfId="11" priority="1">
      <formula>LEN(TRIM(B2))=0</formula>
    </cfRule>
  </conditionalFormatting>
  <conditionalFormatting sqref="B2:C63">
    <cfRule type="cellIs" dxfId="10" priority="2" operator="equal">
      <formula>0</formula>
    </cfRule>
  </conditionalFormatting>
  <conditionalFormatting sqref="B2:C63">
    <cfRule type="cellIs" dxfId="9" priority="3" operator="greaterThanOrEqual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3"/>
  <sheetViews>
    <sheetView tabSelected="1" workbookViewId="0">
      <selection activeCell="N15" sqref="N15"/>
    </sheetView>
  </sheetViews>
  <sheetFormatPr defaultColWidth="12.5703125" defaultRowHeight="15.75" customHeight="1"/>
  <cols>
    <col min="13" max="13" width="24.42578125" customWidth="1"/>
    <col min="14" max="14" width="31.85546875" customWidth="1"/>
  </cols>
  <sheetData>
    <row r="1" spans="1:15">
      <c r="A1" s="42" t="s">
        <v>112</v>
      </c>
      <c r="B1" s="42" t="s">
        <v>34</v>
      </c>
      <c r="C1" s="42" t="s">
        <v>113</v>
      </c>
      <c r="D1" s="42" t="s">
        <v>114</v>
      </c>
      <c r="E1" s="42" t="s">
        <v>35</v>
      </c>
      <c r="F1" s="42" t="s">
        <v>115</v>
      </c>
      <c r="G1" s="43" t="s">
        <v>116</v>
      </c>
      <c r="H1" s="43" t="s">
        <v>2</v>
      </c>
      <c r="I1" s="42" t="s">
        <v>117</v>
      </c>
      <c r="J1" s="43" t="s">
        <v>118</v>
      </c>
      <c r="K1" s="43" t="s">
        <v>119</v>
      </c>
      <c r="L1" s="42" t="s">
        <v>120</v>
      </c>
      <c r="M1" s="42" t="s">
        <v>121</v>
      </c>
      <c r="N1" s="42" t="s">
        <v>122</v>
      </c>
      <c r="O1" s="42" t="s">
        <v>123</v>
      </c>
    </row>
    <row r="2" spans="1:15">
      <c r="A2" s="115">
        <f ca="1">SUM(A3:A3)</f>
        <v>331.39328531550598</v>
      </c>
      <c r="B2" s="116"/>
      <c r="C2" s="117">
        <f>AVERAGE(C3:C3)</f>
        <v>7.2999999999999995E-2</v>
      </c>
      <c r="D2" s="116">
        <f>AVERAGE(D3:D3)</f>
        <v>62.5</v>
      </c>
      <c r="E2" s="118">
        <f ca="1">AVERAGE(E3:E3)</f>
        <v>20.89</v>
      </c>
      <c r="F2" s="119"/>
      <c r="G2" s="120"/>
      <c r="H2" s="121">
        <f ca="1">IFERROR(__xludf.DUMMYFUNCTION("sum(sum(H3:H5),sum(H7:H21),sum(H23:H24),H26,sum(H28:H64),H6*GOOGLEFINANCE(""Currency:EURUSD""),H22*GOOGLEFINANCE(""Currency:CADUSD""),(sum(H25,H27)/100)*GOOGLEFINANCE(""Currency:GBPUSD""))"),1047.51543795295)</f>
        <v>1047.5154379529499</v>
      </c>
      <c r="I2" s="122">
        <f>AVERAGE(I3:I3)</f>
        <v>1.0081769999999999</v>
      </c>
      <c r="J2" s="123"/>
      <c r="K2" s="124">
        <f ca="1">IFERROR(__xludf.DUMMYFUNCTION("sum(sum(K3:K5),sum(K7:K21),sum(K23:K24),K26,sum(K28:K64),K6*GOOGLEFINANCE(""Currency:EURUSD""),K22*GOOGLEFINANCE(""Currency:CADUSD""),(sum(K25,K27)/100)*GOOGLEFINANCE(""Currency:GBPUSD""))*GOOGLEFINANCE(""Currency:USDRON"")"),5.1737069518342)</f>
        <v>5.1737069518342</v>
      </c>
      <c r="L2" s="124">
        <f ca="1">IFERROR(__xludf.DUMMYFUNCTION("sum(sum(L3:L5),sum(L7:L21),sum(L23:L24),L26,sum(L28:L64),L6*GOOGLEFINANCE(""Currency:EURUSD""),L22*GOOGLEFINANCE(""Currency:CADUSD""),(sum(L25,L27)/100)*GOOGLEFINANCE(""Currency:GBPUSD""))*GOOGLEFINANCE(""Currency:USDRON"")"),45.8349950028873)</f>
        <v>45.834995002887297</v>
      </c>
      <c r="M2" s="125"/>
      <c r="N2" s="125"/>
      <c r="O2" s="126">
        <f>SUM(O3:O3)</f>
        <v>12584</v>
      </c>
    </row>
    <row r="3" spans="1:15">
      <c r="A3" s="127">
        <f ca="1">IFERROR(__xludf.DUMMYFUNCTION("sum(sum(H3:H5)*GOOGLEFINANCE (""Currency:USDRON""),H6*GOOGLEFINANCE (""Currency:EURRON""))"),331.393285315506)</f>
        <v>331.39328531550598</v>
      </c>
      <c r="B3" s="47" t="s">
        <v>210</v>
      </c>
      <c r="C3" s="128">
        <v>7.2999999999999995E-2</v>
      </c>
      <c r="D3" s="129">
        <v>62.5</v>
      </c>
      <c r="E3" s="48">
        <f ca="1">IFERROR(__xludf.DUMMYFUNCTION("GOOGLEFINANCE(""CWH"")"),20.89)</f>
        <v>20.89</v>
      </c>
      <c r="F3" s="48">
        <f ca="1">Intrisec_values!E3</f>
        <v>132.76530337078654</v>
      </c>
      <c r="G3" s="130">
        <f t="shared" ref="G3" ca="1" si="0">E3/D3</f>
        <v>0.33423999999999998</v>
      </c>
      <c r="H3" s="131">
        <f t="shared" ref="H3" ca="1" si="1">E3*I3</f>
        <v>21.060817529999998</v>
      </c>
      <c r="I3" s="129">
        <f>0.225451+0.223739+0.191766+0.367221</f>
        <v>1.0081769999999999</v>
      </c>
      <c r="J3" s="132">
        <v>10</v>
      </c>
      <c r="K3" s="55">
        <f t="shared" ref="K3" si="2">(((I3*D3)/100)*J3)/100</f>
        <v>6.3011062499999992E-2</v>
      </c>
      <c r="L3" s="133">
        <f t="shared" ref="L3" si="3">((I3*D3)/100)-K3</f>
        <v>0.56709956249999993</v>
      </c>
      <c r="M3" s="134" t="s">
        <v>124</v>
      </c>
      <c r="N3" s="134" t="s">
        <v>125</v>
      </c>
      <c r="O3" s="135">
        <v>12584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64"/>
  <sheetViews>
    <sheetView workbookViewId="0"/>
  </sheetViews>
  <sheetFormatPr defaultColWidth="12.5703125" defaultRowHeight="15.75" customHeight="1"/>
  <cols>
    <col min="11" max="11" width="24.42578125" customWidth="1"/>
    <col min="12" max="12" width="31.85546875" customWidth="1"/>
  </cols>
  <sheetData>
    <row r="1" spans="1:13">
      <c r="A1" s="42" t="s">
        <v>112</v>
      </c>
      <c r="B1" s="42" t="s">
        <v>34</v>
      </c>
      <c r="C1" s="42" t="s">
        <v>114</v>
      </c>
      <c r="D1" s="42" t="s">
        <v>35</v>
      </c>
      <c r="E1" s="43" t="s">
        <v>116</v>
      </c>
      <c r="F1" s="43" t="s">
        <v>2</v>
      </c>
      <c r="G1" s="42" t="s">
        <v>117</v>
      </c>
      <c r="H1" s="43" t="s">
        <v>118</v>
      </c>
      <c r="I1" s="43" t="s">
        <v>119</v>
      </c>
      <c r="J1" s="42" t="s">
        <v>120</v>
      </c>
      <c r="K1" s="42" t="s">
        <v>121</v>
      </c>
      <c r="L1" s="42" t="s">
        <v>122</v>
      </c>
      <c r="M1" s="42" t="s">
        <v>123</v>
      </c>
    </row>
    <row r="2" spans="1:13">
      <c r="A2" s="115">
        <f ca="1">SUM(A3:A64)</f>
        <v>4761.3398937183083</v>
      </c>
      <c r="B2" s="116"/>
      <c r="C2" s="116">
        <f t="shared" ref="C2:D2" si="0">AVERAGE(C3:C64)</f>
        <v>100.28145161290323</v>
      </c>
      <c r="D2" s="118">
        <f t="shared" ca="1" si="0"/>
        <v>126.65161290322581</v>
      </c>
      <c r="E2" s="246"/>
      <c r="F2" s="247">
        <f ca="1">IFERROR(__xludf.DUMMYFUNCTION("sum(sum(F3:F5),sum(F7:F21),sum(F23:F24),F26,sum(F28:F64),F6*GOOGLEFINANCE(""Currency:EURUSD""),F22*GOOGLEFINANCE(""Currency:CADUSD""),(sum(F25,F27)/100)*GOOGLEFINANCE(""Currency:GBPUSD""))"),1059.46460775701)</f>
        <v>1059.4646077570101</v>
      </c>
      <c r="G2" s="116" t="e">
        <f>AVERAGE(G3:G64)</f>
        <v>#REF!</v>
      </c>
      <c r="H2" s="123"/>
      <c r="I2" s="123">
        <f ca="1">IFERROR(__xludf.DUMMYFUNCTION("sum(sum(I3:I5),sum(I7:I21),sum(I23:I24),I26,sum(I28:I64),I6*GOOGLEFINANCE(""Currency:EURUSD""),I22*GOOGLEFINANCE(""Currency:CADUSD""),(sum(I25,I27)/100)*GOOGLEFINANCE(""Currency:GBPUSD""))*GOOGLEFINANCE(""Currency:USDRON"")"),5.42207868515237)</f>
        <v>5.4220786851523703</v>
      </c>
      <c r="J2" s="123">
        <f ca="1">IFERROR(__xludf.DUMMYFUNCTION("sum(sum(J3:J5),sum(J7:J21),sum(J23:J24),J26,sum(J28:J64),J6*GOOGLEFINANCE(""Currency:EURUSD""),J22*GOOGLEFINANCE(""Currency:CADUSD""),(sum(J25,J27)/100)*GOOGLEFINANCE(""Currency:GBPUSD""))*GOOGLEFINANCE(""Currency:USDRON"")"),48.0157667187128)</f>
        <v>48.015766718712797</v>
      </c>
      <c r="K2" s="125"/>
      <c r="L2" s="125"/>
      <c r="M2" s="126">
        <f>SUM(M3:M64)</f>
        <v>3542338</v>
      </c>
    </row>
    <row r="3" spans="1:13">
      <c r="A3" s="127">
        <f ca="1">IFERROR(__xludf.DUMMYFUNCTION("sum(sum(F3:F5)*GOOGLEFINANCE (""Currency:USDRON""),F6*GOOGLEFINANCE (""Currency:EURRON""))"),331.393285315506)</f>
        <v>331.39328531550598</v>
      </c>
      <c r="B3" s="47" t="s">
        <v>43</v>
      </c>
      <c r="C3" s="129">
        <v>63</v>
      </c>
      <c r="D3" s="48">
        <f ca="1">IFERROR(__xludf.DUMMYFUNCTION("GOOGLEFINANCE(""CWH"")"),20.89)</f>
        <v>20.89</v>
      </c>
      <c r="E3" s="130">
        <f t="shared" ref="E3:E39" ca="1" si="1">D3/C3</f>
        <v>0.3315873015873016</v>
      </c>
      <c r="F3" s="131">
        <f t="shared" ref="F3:F24" ca="1" si="2">D3*G3</f>
        <v>21.060817529999998</v>
      </c>
      <c r="G3" s="137">
        <f>Divident_all!I3</f>
        <v>1.0081769999999999</v>
      </c>
      <c r="H3" s="132">
        <v>10</v>
      </c>
      <c r="I3" s="55">
        <f t="shared" ref="I3:I24" si="3">(((G3*C3)/100)*H3)/100</f>
        <v>6.3515150999999992E-2</v>
      </c>
      <c r="J3" s="133">
        <f t="shared" ref="J3:J5" si="4">((G3*C3)/100)-I3</f>
        <v>0.57163635899999998</v>
      </c>
      <c r="K3" s="134" t="s">
        <v>124</v>
      </c>
      <c r="L3" s="134" t="s">
        <v>125</v>
      </c>
      <c r="M3" s="135">
        <v>12584</v>
      </c>
    </row>
    <row r="4" spans="1:13">
      <c r="A4" s="136"/>
      <c r="B4" s="54" t="s">
        <v>45</v>
      </c>
      <c r="C4" s="137">
        <v>152</v>
      </c>
      <c r="D4" s="55">
        <f ca="1">IFERROR(__xludf.DUMMYFUNCTION("GOOGLEFINANCE(""mcd"")"),288.98)</f>
        <v>288.98</v>
      </c>
      <c r="E4" s="132">
        <f t="shared" ca="1" si="1"/>
        <v>1.9011842105263159</v>
      </c>
      <c r="F4" s="138" t="e">
        <f t="shared" ca="1" si="2"/>
        <v>#REF!</v>
      </c>
      <c r="G4" s="137" t="e">
        <f>Divident_all!#REF!</f>
        <v>#REF!</v>
      </c>
      <c r="H4" s="132">
        <v>10</v>
      </c>
      <c r="I4" s="55" t="e">
        <f t="shared" si="3"/>
        <v>#REF!</v>
      </c>
      <c r="J4" s="133" t="e">
        <f t="shared" si="4"/>
        <v>#REF!</v>
      </c>
      <c r="K4" s="139" t="s">
        <v>124</v>
      </c>
      <c r="L4" s="134" t="s">
        <v>126</v>
      </c>
      <c r="M4" s="140">
        <v>100000</v>
      </c>
    </row>
    <row r="5" spans="1:13">
      <c r="A5" s="136"/>
      <c r="B5" s="54" t="s">
        <v>47</v>
      </c>
      <c r="C5" s="137">
        <v>89.5</v>
      </c>
      <c r="D5" s="55">
        <f ca="1">IFERROR(__xludf.DUMMYFUNCTION("GOOGLEFINANCE(""gpc"")"),165.07)</f>
        <v>165.07</v>
      </c>
      <c r="E5" s="132">
        <f t="shared" ca="1" si="1"/>
        <v>1.8443575418994413</v>
      </c>
      <c r="F5" s="138" t="e">
        <f t="shared" ca="1" si="2"/>
        <v>#REF!</v>
      </c>
      <c r="G5" s="137" t="e">
        <f>Divident_all!#REF!</f>
        <v>#REF!</v>
      </c>
      <c r="H5" s="132">
        <v>10</v>
      </c>
      <c r="I5" s="55" t="e">
        <f t="shared" si="3"/>
        <v>#REF!</v>
      </c>
      <c r="J5" s="133" t="e">
        <f t="shared" si="4"/>
        <v>#REF!</v>
      </c>
      <c r="K5" s="139" t="s">
        <v>124</v>
      </c>
      <c r="L5" s="134" t="s">
        <v>127</v>
      </c>
      <c r="M5" s="140">
        <v>53000</v>
      </c>
    </row>
    <row r="6" spans="1:13">
      <c r="A6" s="136"/>
      <c r="B6" s="54" t="s">
        <v>49</v>
      </c>
      <c r="C6" s="137">
        <v>700</v>
      </c>
      <c r="D6" s="58">
        <f ca="1">IFERROR(__xludf.DUMMYFUNCTION("GOOGLEFINANCE(""EPA:MC"")"),892.8)</f>
        <v>892.8</v>
      </c>
      <c r="E6" s="132">
        <f t="shared" ca="1" si="1"/>
        <v>1.2754285714285714</v>
      </c>
      <c r="F6" s="141" t="e">
        <f t="shared" ca="1" si="2"/>
        <v>#REF!</v>
      </c>
      <c r="G6" s="137" t="e">
        <f>Divident_all!#REF!</f>
        <v>#REF!</v>
      </c>
      <c r="H6" s="132">
        <v>25</v>
      </c>
      <c r="I6" s="142" t="e">
        <f t="shared" si="3"/>
        <v>#REF!</v>
      </c>
      <c r="J6" s="142" t="e">
        <f>(G6*C6)/100-I6</f>
        <v>#REF!</v>
      </c>
      <c r="K6" s="139" t="s">
        <v>124</v>
      </c>
      <c r="L6" s="134" t="s">
        <v>128</v>
      </c>
      <c r="M6" s="140">
        <v>157953</v>
      </c>
    </row>
    <row r="7" spans="1:13">
      <c r="A7" s="143">
        <f ca="1">IFERROR(__xludf.DUMMYFUNCTION("sum(sum(F7:F19)*GOOGLEFINANCE (""Currency:USDRON""))"),942.206115957119)</f>
        <v>942.20611595711898</v>
      </c>
      <c r="B7" s="60" t="s">
        <v>50</v>
      </c>
      <c r="C7" s="144">
        <v>23</v>
      </c>
      <c r="D7" s="61">
        <f ca="1">IFERROR(__xludf.DUMMYFUNCTION("GOOGLEFINANCE(""nwl"")"),12.42)</f>
        <v>12.42</v>
      </c>
      <c r="E7" s="145">
        <f t="shared" ca="1" si="1"/>
        <v>0.54</v>
      </c>
      <c r="F7" s="146" t="e">
        <f t="shared" ca="1" si="2"/>
        <v>#REF!</v>
      </c>
      <c r="G7" s="144" t="e">
        <f>Divident_all!#REF!</f>
        <v>#REF!</v>
      </c>
      <c r="H7" s="145">
        <v>10</v>
      </c>
      <c r="I7" s="61" t="e">
        <f t="shared" si="3"/>
        <v>#REF!</v>
      </c>
      <c r="J7" s="147" t="e">
        <f t="shared" ref="J7:J24" si="5">((G7*C7)/100)-I7</f>
        <v>#REF!</v>
      </c>
      <c r="K7" s="148" t="s">
        <v>129</v>
      </c>
      <c r="L7" s="148" t="s">
        <v>130</v>
      </c>
      <c r="M7" s="149">
        <v>52000</v>
      </c>
    </row>
    <row r="8" spans="1:13">
      <c r="A8" s="136"/>
      <c r="B8" s="60" t="s">
        <v>51</v>
      </c>
      <c r="C8" s="144">
        <v>66</v>
      </c>
      <c r="D8" s="61">
        <f ca="1">IFERROR(__xludf.DUMMYFUNCTION("GOOGLEFINANCE(""el"")"),254.01)</f>
        <v>254.01</v>
      </c>
      <c r="E8" s="145">
        <f t="shared" ca="1" si="1"/>
        <v>3.8486363636363636</v>
      </c>
      <c r="F8" s="146" t="e">
        <f t="shared" ca="1" si="2"/>
        <v>#REF!</v>
      </c>
      <c r="G8" s="144" t="e">
        <f>Divident_all!#REF!</f>
        <v>#REF!</v>
      </c>
      <c r="H8" s="145">
        <v>10</v>
      </c>
      <c r="I8" s="61" t="e">
        <f t="shared" si="3"/>
        <v>#REF!</v>
      </c>
      <c r="J8" s="147" t="e">
        <f t="shared" si="5"/>
        <v>#REF!</v>
      </c>
      <c r="K8" s="150" t="s">
        <v>129</v>
      </c>
      <c r="L8" s="150" t="s">
        <v>130</v>
      </c>
      <c r="M8" s="151" t="s">
        <v>131</v>
      </c>
    </row>
    <row r="9" spans="1:13">
      <c r="A9" s="152"/>
      <c r="B9" s="60" t="s">
        <v>52</v>
      </c>
      <c r="C9" s="144">
        <v>44</v>
      </c>
      <c r="D9" s="61">
        <f ca="1">IFERROR(__xludf.DUMMYFUNCTION("GOOGLEFINANCE(""ko"")"),63.05)</f>
        <v>63.05</v>
      </c>
      <c r="E9" s="145">
        <f t="shared" ca="1" si="1"/>
        <v>1.4329545454545454</v>
      </c>
      <c r="F9" s="146" t="e">
        <f t="shared" ca="1" si="2"/>
        <v>#REF!</v>
      </c>
      <c r="G9" s="144" t="e">
        <f>Divident_all!#REF!</f>
        <v>#REF!</v>
      </c>
      <c r="H9" s="145">
        <v>10</v>
      </c>
      <c r="I9" s="61" t="e">
        <f t="shared" si="3"/>
        <v>#REF!</v>
      </c>
      <c r="J9" s="147" t="e">
        <f t="shared" si="5"/>
        <v>#REF!</v>
      </c>
      <c r="K9" s="150" t="s">
        <v>129</v>
      </c>
      <c r="L9" s="148" t="s">
        <v>132</v>
      </c>
      <c r="M9" s="149">
        <v>79000</v>
      </c>
    </row>
    <row r="10" spans="1:13">
      <c r="A10" s="136"/>
      <c r="B10" s="60" t="s">
        <v>53</v>
      </c>
      <c r="C10" s="144">
        <v>94</v>
      </c>
      <c r="D10" s="61">
        <f ca="1">IFERROR(__xludf.DUMMYFUNCTION("GOOGLEFINANCE(""mo"")"),45.03)</f>
        <v>45.03</v>
      </c>
      <c r="E10" s="145">
        <f t="shared" ca="1" si="1"/>
        <v>0.47904255319148936</v>
      </c>
      <c r="F10" s="146" t="e">
        <f t="shared" ca="1" si="2"/>
        <v>#REF!</v>
      </c>
      <c r="G10" s="144" t="e">
        <f>Divident_all!#REF!</f>
        <v>#REF!</v>
      </c>
      <c r="H10" s="145">
        <v>10</v>
      </c>
      <c r="I10" s="61" t="e">
        <f t="shared" si="3"/>
        <v>#REF!</v>
      </c>
      <c r="J10" s="147" t="e">
        <f t="shared" si="5"/>
        <v>#REF!</v>
      </c>
      <c r="K10" s="150" t="s">
        <v>129</v>
      </c>
      <c r="L10" s="148" t="s">
        <v>133</v>
      </c>
      <c r="M10" s="149">
        <v>6000</v>
      </c>
    </row>
    <row r="11" spans="1:13">
      <c r="A11" s="136"/>
      <c r="B11" s="60" t="s">
        <v>54</v>
      </c>
      <c r="C11" s="144">
        <v>79</v>
      </c>
      <c r="D11" s="61">
        <f ca="1">IFERROR(__xludf.DUMMYFUNCTION("GOOGLEFINANCE(""uvv"")"),53.92)</f>
        <v>53.92</v>
      </c>
      <c r="E11" s="145">
        <f t="shared" ca="1" si="1"/>
        <v>0.68253164556962032</v>
      </c>
      <c r="F11" s="146" t="e">
        <f t="shared" ca="1" si="2"/>
        <v>#REF!</v>
      </c>
      <c r="G11" s="144" t="e">
        <f>Divident_all!#REF!</f>
        <v>#REF!</v>
      </c>
      <c r="H11" s="145">
        <v>10</v>
      </c>
      <c r="I11" s="61" t="e">
        <f t="shared" si="3"/>
        <v>#REF!</v>
      </c>
      <c r="J11" s="147" t="e">
        <f t="shared" si="5"/>
        <v>#REF!</v>
      </c>
      <c r="K11" s="150" t="s">
        <v>129</v>
      </c>
      <c r="L11" s="150" t="s">
        <v>133</v>
      </c>
      <c r="M11" s="149">
        <v>11250</v>
      </c>
    </row>
    <row r="12" spans="1:13">
      <c r="A12" s="136"/>
      <c r="B12" s="60" t="s">
        <v>56</v>
      </c>
      <c r="C12" s="144">
        <v>127</v>
      </c>
      <c r="D12" s="61">
        <f ca="1">IFERROR(__xludf.DUMMYFUNCTION("GOOGLEFINANCE(""pm"")"),99.48)</f>
        <v>99.48</v>
      </c>
      <c r="E12" s="145">
        <f t="shared" ca="1" si="1"/>
        <v>0.78330708661417325</v>
      </c>
      <c r="F12" s="146" t="e">
        <f t="shared" ca="1" si="2"/>
        <v>#REF!</v>
      </c>
      <c r="G12" s="144" t="e">
        <f>Divident_all!#REF!</f>
        <v>#REF!</v>
      </c>
      <c r="H12" s="145">
        <v>10</v>
      </c>
      <c r="I12" s="61" t="e">
        <f t="shared" si="3"/>
        <v>#REF!</v>
      </c>
      <c r="J12" s="147" t="e">
        <f t="shared" si="5"/>
        <v>#REF!</v>
      </c>
      <c r="K12" s="150" t="s">
        <v>129</v>
      </c>
      <c r="L12" s="150" t="s">
        <v>133</v>
      </c>
      <c r="M12" s="149">
        <v>69600</v>
      </c>
    </row>
    <row r="13" spans="1:13">
      <c r="A13" s="136"/>
      <c r="B13" s="60" t="s">
        <v>57</v>
      </c>
      <c r="C13" s="144">
        <v>74.040000000000006</v>
      </c>
      <c r="D13" s="61">
        <f ca="1">IFERROR(__xludf.DUMMYFUNCTION("GOOGLEFINANCE(""bti"")"),35.19)</f>
        <v>35.19</v>
      </c>
      <c r="E13" s="145">
        <f t="shared" ca="1" si="1"/>
        <v>0.47528363047001615</v>
      </c>
      <c r="F13" s="146" t="e">
        <f t="shared" ca="1" si="2"/>
        <v>#REF!</v>
      </c>
      <c r="G13" s="144" t="e">
        <f>Divident_all!#REF!</f>
        <v>#REF!</v>
      </c>
      <c r="H13" s="145">
        <v>10</v>
      </c>
      <c r="I13" s="61" t="e">
        <f t="shared" si="3"/>
        <v>#REF!</v>
      </c>
      <c r="J13" s="147" t="e">
        <f t="shared" si="5"/>
        <v>#REF!</v>
      </c>
      <c r="K13" s="150" t="s">
        <v>129</v>
      </c>
      <c r="L13" s="150" t="s">
        <v>133</v>
      </c>
      <c r="M13" s="149">
        <v>54360</v>
      </c>
    </row>
    <row r="14" spans="1:13">
      <c r="A14" s="136"/>
      <c r="B14" s="60" t="s">
        <v>58</v>
      </c>
      <c r="C14" s="144">
        <v>115</v>
      </c>
      <c r="D14" s="61">
        <f ca="1">IFERROR(__xludf.DUMMYFUNCTION("GOOGLEFINANCE(""PEP"")"),183.51)</f>
        <v>183.51</v>
      </c>
      <c r="E14" s="145">
        <f t="shared" ca="1" si="1"/>
        <v>1.5957391304347825</v>
      </c>
      <c r="F14" s="146" t="e">
        <f t="shared" ca="1" si="2"/>
        <v>#REF!</v>
      </c>
      <c r="G14" s="144" t="e">
        <f>Divident_all!#REF!</f>
        <v>#REF!</v>
      </c>
      <c r="H14" s="145">
        <v>10</v>
      </c>
      <c r="I14" s="61" t="e">
        <f t="shared" si="3"/>
        <v>#REF!</v>
      </c>
      <c r="J14" s="147" t="e">
        <f t="shared" si="5"/>
        <v>#REF!</v>
      </c>
      <c r="K14" s="150" t="s">
        <v>129</v>
      </c>
      <c r="L14" s="150" t="s">
        <v>132</v>
      </c>
      <c r="M14" s="149">
        <v>309000</v>
      </c>
    </row>
    <row r="15" spans="1:13">
      <c r="A15" s="136"/>
      <c r="B15" s="60" t="s">
        <v>59</v>
      </c>
      <c r="C15" s="144">
        <v>47</v>
      </c>
      <c r="D15" s="61">
        <f ca="1">IFERROR(__xludf.DUMMYFUNCTION("GOOGLEFINANCE(""CL"")"),75.59)</f>
        <v>75.59</v>
      </c>
      <c r="E15" s="145">
        <f t="shared" ca="1" si="1"/>
        <v>1.6082978723404255</v>
      </c>
      <c r="F15" s="146" t="e">
        <f t="shared" ca="1" si="2"/>
        <v>#REF!</v>
      </c>
      <c r="G15" s="144" t="e">
        <f>Divident_all!#REF!</f>
        <v>#REF!</v>
      </c>
      <c r="H15" s="145">
        <v>10</v>
      </c>
      <c r="I15" s="61" t="e">
        <f t="shared" si="3"/>
        <v>#REF!</v>
      </c>
      <c r="J15" s="147" t="e">
        <f t="shared" si="5"/>
        <v>#REF!</v>
      </c>
      <c r="K15" s="150" t="s">
        <v>129</v>
      </c>
      <c r="L15" s="150" t="s">
        <v>130</v>
      </c>
      <c r="M15" s="149">
        <v>33800</v>
      </c>
    </row>
    <row r="16" spans="1:13">
      <c r="A16" s="136"/>
      <c r="B16" s="60" t="s">
        <v>60</v>
      </c>
      <c r="C16" s="144">
        <v>91.33</v>
      </c>
      <c r="D16" s="61">
        <f ca="1">IFERROR(__xludf.DUMMYFUNCTION("GOOGLEFINANCE(""pg"")"),151)</f>
        <v>151</v>
      </c>
      <c r="E16" s="145">
        <f t="shared" ca="1" si="1"/>
        <v>1.6533450125917004</v>
      </c>
      <c r="F16" s="146" t="e">
        <f t="shared" ca="1" si="2"/>
        <v>#REF!</v>
      </c>
      <c r="G16" s="144" t="e">
        <f>Divident_all!#REF!</f>
        <v>#REF!</v>
      </c>
      <c r="H16" s="145">
        <v>10</v>
      </c>
      <c r="I16" s="61" t="e">
        <f t="shared" si="3"/>
        <v>#REF!</v>
      </c>
      <c r="J16" s="147" t="e">
        <f t="shared" si="5"/>
        <v>#REF!</v>
      </c>
      <c r="K16" s="150" t="s">
        <v>129</v>
      </c>
      <c r="L16" s="150" t="s">
        <v>130</v>
      </c>
      <c r="M16" s="149">
        <v>106000</v>
      </c>
    </row>
    <row r="17" spans="1:31">
      <c r="A17" s="136"/>
      <c r="B17" s="60" t="s">
        <v>61</v>
      </c>
      <c r="C17" s="144">
        <v>118</v>
      </c>
      <c r="D17" s="61">
        <f ca="1">IFERROR(__xludf.DUMMYFUNCTION("GOOGLEFINANCE(""KMB"")"),137.33)</f>
        <v>137.33000000000001</v>
      </c>
      <c r="E17" s="145">
        <f t="shared" ca="1" si="1"/>
        <v>1.163813559322034</v>
      </c>
      <c r="F17" s="146" t="e">
        <f t="shared" ca="1" si="2"/>
        <v>#REF!</v>
      </c>
      <c r="G17" s="144" t="e">
        <f>Divident_all!#REF!</f>
        <v>#REF!</v>
      </c>
      <c r="H17" s="145">
        <v>10</v>
      </c>
      <c r="I17" s="61" t="e">
        <f t="shared" si="3"/>
        <v>#REF!</v>
      </c>
      <c r="J17" s="147" t="e">
        <f t="shared" si="5"/>
        <v>#REF!</v>
      </c>
      <c r="K17" s="150" t="s">
        <v>129</v>
      </c>
      <c r="L17" s="150" t="s">
        <v>130</v>
      </c>
      <c r="M17" s="149">
        <v>45000</v>
      </c>
    </row>
    <row r="18" spans="1:31">
      <c r="A18" s="136"/>
      <c r="B18" s="60" t="s">
        <v>62</v>
      </c>
      <c r="C18" s="144">
        <v>33</v>
      </c>
      <c r="D18" s="61">
        <f ca="1">IFERROR(__xludf.DUMMYFUNCTION("GOOGLEFINANCE(""cag"")"),36.97)</f>
        <v>36.97</v>
      </c>
      <c r="E18" s="145">
        <f t="shared" ca="1" si="1"/>
        <v>1.1203030303030304</v>
      </c>
      <c r="F18" s="146" t="e">
        <f t="shared" ca="1" si="2"/>
        <v>#REF!</v>
      </c>
      <c r="G18" s="144" t="e">
        <f>Divident_all!#REF!</f>
        <v>#REF!</v>
      </c>
      <c r="H18" s="145">
        <v>10</v>
      </c>
      <c r="I18" s="61" t="e">
        <f t="shared" si="3"/>
        <v>#REF!</v>
      </c>
      <c r="J18" s="147" t="e">
        <f t="shared" si="5"/>
        <v>#REF!</v>
      </c>
      <c r="K18" s="150" t="s">
        <v>129</v>
      </c>
      <c r="L18" s="148" t="s">
        <v>134</v>
      </c>
      <c r="M18" s="149">
        <v>18000</v>
      </c>
    </row>
    <row r="19" spans="1:31">
      <c r="A19" s="136"/>
      <c r="B19" s="60" t="s">
        <v>63</v>
      </c>
      <c r="C19" s="144">
        <v>49</v>
      </c>
      <c r="D19" s="61">
        <f ca="1">IFERROR(__xludf.DUMMYFUNCTION("GOOGLEFINANCE(""SYY"")"),73.48)</f>
        <v>73.48</v>
      </c>
      <c r="E19" s="145">
        <f t="shared" ca="1" si="1"/>
        <v>1.4995918367346939</v>
      </c>
      <c r="F19" s="146" t="e">
        <f t="shared" ca="1" si="2"/>
        <v>#REF!</v>
      </c>
      <c r="G19" s="144" t="e">
        <f>Divident_all!#REF!</f>
        <v>#REF!</v>
      </c>
      <c r="H19" s="145">
        <v>10</v>
      </c>
      <c r="I19" s="61" t="e">
        <f t="shared" si="3"/>
        <v>#REF!</v>
      </c>
      <c r="J19" s="147" t="e">
        <f t="shared" si="5"/>
        <v>#REF!</v>
      </c>
      <c r="K19" s="150" t="s">
        <v>129</v>
      </c>
      <c r="L19" s="148" t="s">
        <v>135</v>
      </c>
      <c r="M19" s="149">
        <v>71000</v>
      </c>
    </row>
    <row r="20" spans="1:31">
      <c r="A20" s="153">
        <f ca="1">IFERROR(__xludf.DUMMYFUNCTION("sum(sum(F20,F21,F23,F24)*GOOGLEFINANCE (""Currency:USDRON""),(F25/100)*GOOGLEFINANCE (""Currency:GBPRON""),F22*GOOGLEFINANCE(""Currency:CADRON""))"),380.815501378648)</f>
        <v>380.81550137864798</v>
      </c>
      <c r="B20" s="68" t="s">
        <v>64</v>
      </c>
      <c r="C20" s="154">
        <v>69</v>
      </c>
      <c r="D20" s="69">
        <f ca="1">IFERROR(__xludf.DUMMYFUNCTION("GOOGLEFINANCE(""DVN"")"),55.7)</f>
        <v>55.7</v>
      </c>
      <c r="E20" s="155">
        <f t="shared" ca="1" si="1"/>
        <v>0.80724637681159428</v>
      </c>
      <c r="F20" s="156" t="e">
        <f t="shared" ca="1" si="2"/>
        <v>#REF!</v>
      </c>
      <c r="G20" s="248" t="e">
        <f>Divident_all!#REF!</f>
        <v>#REF!</v>
      </c>
      <c r="H20" s="155">
        <v>10</v>
      </c>
      <c r="I20" s="69" t="e">
        <f t="shared" si="3"/>
        <v>#REF!</v>
      </c>
      <c r="J20" s="157" t="e">
        <f t="shared" si="5"/>
        <v>#REF!</v>
      </c>
      <c r="K20" s="158" t="s">
        <v>136</v>
      </c>
      <c r="L20" s="158" t="s">
        <v>137</v>
      </c>
      <c r="M20" s="159">
        <v>1600</v>
      </c>
    </row>
    <row r="21" spans="1:31">
      <c r="B21" s="68" t="s">
        <v>65</v>
      </c>
      <c r="C21" s="154">
        <v>95.5</v>
      </c>
      <c r="D21" s="69">
        <f ca="1">IFERROR(__xludf.DUMMYFUNCTION("GOOGLEFINANCE(""oke"")"),67.03)</f>
        <v>67.03</v>
      </c>
      <c r="E21" s="155">
        <f t="shared" ca="1" si="1"/>
        <v>0.70188481675392667</v>
      </c>
      <c r="F21" s="156" t="e">
        <f t="shared" ca="1" si="2"/>
        <v>#REF!</v>
      </c>
      <c r="G21" s="248" t="e">
        <f>Divident_all!#REF!</f>
        <v>#REF!</v>
      </c>
      <c r="H21" s="155">
        <v>10</v>
      </c>
      <c r="I21" s="69" t="e">
        <f t="shared" si="3"/>
        <v>#REF!</v>
      </c>
      <c r="J21" s="157" t="e">
        <f t="shared" si="5"/>
        <v>#REF!</v>
      </c>
      <c r="K21" s="160" t="s">
        <v>136</v>
      </c>
      <c r="L21" s="158" t="s">
        <v>138</v>
      </c>
      <c r="M21" s="159">
        <v>2847</v>
      </c>
    </row>
    <row r="22" spans="1:31">
      <c r="A22" s="161"/>
      <c r="B22" s="70" t="s">
        <v>66</v>
      </c>
      <c r="C22" s="162">
        <v>88.75</v>
      </c>
      <c r="D22" s="71">
        <f ca="1">IFERROR(__xludf.DUMMYFUNCTION("GOOGLEFINANCE(""enb"")"),40.04)</f>
        <v>40.04</v>
      </c>
      <c r="E22" s="163">
        <f t="shared" ca="1" si="1"/>
        <v>0.45115492957746478</v>
      </c>
      <c r="F22" s="71" t="e">
        <f t="shared" ca="1" si="2"/>
        <v>#REF!</v>
      </c>
      <c r="G22" s="248" t="e">
        <f>Divident_all!#REF!</f>
        <v>#REF!</v>
      </c>
      <c r="H22" s="163">
        <v>10</v>
      </c>
      <c r="I22" s="71" t="e">
        <f t="shared" si="3"/>
        <v>#REF!</v>
      </c>
      <c r="J22" s="71" t="e">
        <f t="shared" si="5"/>
        <v>#REF!</v>
      </c>
      <c r="K22" s="164" t="s">
        <v>136</v>
      </c>
      <c r="L22" s="160" t="s">
        <v>138</v>
      </c>
      <c r="M22" s="165">
        <v>10900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</row>
    <row r="23" spans="1:31">
      <c r="B23" s="68" t="s">
        <v>67</v>
      </c>
      <c r="C23" s="154">
        <v>151</v>
      </c>
      <c r="D23" s="69">
        <f ca="1">IFERROR(__xludf.DUMMYFUNCTION("GOOGLEFINANCE(""CVX"")"),172.44)</f>
        <v>172.44</v>
      </c>
      <c r="E23" s="155">
        <f t="shared" ca="1" si="1"/>
        <v>1.1419867549668874</v>
      </c>
      <c r="F23" s="156" t="e">
        <f t="shared" ca="1" si="2"/>
        <v>#REF!</v>
      </c>
      <c r="G23" s="248" t="e">
        <f>Divident_all!#REF!</f>
        <v>#REF!</v>
      </c>
      <c r="H23" s="155">
        <v>10</v>
      </c>
      <c r="I23" s="69" t="e">
        <f t="shared" si="3"/>
        <v>#REF!</v>
      </c>
      <c r="J23" s="157" t="e">
        <f t="shared" si="5"/>
        <v>#REF!</v>
      </c>
      <c r="K23" s="160" t="s">
        <v>136</v>
      </c>
      <c r="L23" s="160" t="s">
        <v>139</v>
      </c>
      <c r="M23" s="159">
        <v>42595</v>
      </c>
    </row>
    <row r="24" spans="1:31">
      <c r="B24" s="68" t="s">
        <v>68</v>
      </c>
      <c r="C24" s="154">
        <v>36.04</v>
      </c>
      <c r="D24" s="69">
        <f ca="1">IFERROR(__xludf.DUMMYFUNCTION("GOOGLEFINANCE(""BP"")"),40.58)</f>
        <v>40.58</v>
      </c>
      <c r="E24" s="155">
        <f t="shared" ca="1" si="1"/>
        <v>1.1259711431742507</v>
      </c>
      <c r="F24" s="156" t="e">
        <f t="shared" ca="1" si="2"/>
        <v>#REF!</v>
      </c>
      <c r="G24" s="248" t="e">
        <f>Divident_all!#REF!</f>
        <v>#REF!</v>
      </c>
      <c r="H24" s="155">
        <v>0</v>
      </c>
      <c r="I24" s="69" t="e">
        <f t="shared" si="3"/>
        <v>#REF!</v>
      </c>
      <c r="J24" s="157" t="e">
        <f t="shared" si="5"/>
        <v>#REF!</v>
      </c>
      <c r="K24" s="160" t="s">
        <v>136</v>
      </c>
      <c r="L24" s="160" t="s">
        <v>139</v>
      </c>
      <c r="M24" s="159">
        <v>65900</v>
      </c>
    </row>
    <row r="25" spans="1:31">
      <c r="B25" s="68" t="s">
        <v>69</v>
      </c>
      <c r="C25" s="154">
        <v>171</v>
      </c>
      <c r="D25" s="167">
        <f ca="1">IFERROR(__xludf.DUMMYFUNCTION("GOOGLEFINANCE(""LON:TRIG"")"),129.23)</f>
        <v>129.22999999999999</v>
      </c>
      <c r="E25" s="155">
        <f t="shared" ca="1" si="1"/>
        <v>0.7557309941520467</v>
      </c>
      <c r="F25" s="168" t="e">
        <f ca="1">(D25*G25)/100</f>
        <v>#REF!</v>
      </c>
      <c r="G25" s="248" t="e">
        <f>Divident_all!#REF!</f>
        <v>#REF!</v>
      </c>
      <c r="H25" s="155">
        <v>10</v>
      </c>
      <c r="I25" s="169" t="e">
        <f>((((G25*C25)/100)*H25)/100)/100</f>
        <v>#REF!</v>
      </c>
      <c r="J25" s="170" t="e">
        <f>(((G25*C25)/100)-I25)/100</f>
        <v>#REF!</v>
      </c>
      <c r="K25" s="160" t="s">
        <v>136</v>
      </c>
      <c r="L25" s="158" t="s">
        <v>140</v>
      </c>
      <c r="M25" s="159"/>
    </row>
    <row r="26" spans="1:31">
      <c r="A26" s="171">
        <f ca="1">IFERROR(__xludf.DUMMYFUNCTION("sum(sum(sum(F28:F32),F26)*GOOGLEFINANCE (""Currency:USDRON""),(F27/100)*GOOGLEFINANCE(""Currency:GBPRON""))"),534.076935804912)</f>
        <v>534.07693580491195</v>
      </c>
      <c r="B26" s="77" t="s">
        <v>70</v>
      </c>
      <c r="C26" s="172">
        <v>120</v>
      </c>
      <c r="D26" s="78">
        <f ca="1">IFERROR(__xludf.DUMMYFUNCTION("GOOGLEFINANCE(""trow"")"),113.27)</f>
        <v>113.27</v>
      </c>
      <c r="E26" s="173">
        <f t="shared" ca="1" si="1"/>
        <v>0.94391666666666663</v>
      </c>
      <c r="F26" s="174" t="e">
        <f t="shared" ref="F26:F64" ca="1" si="6">D26*G26</f>
        <v>#REF!</v>
      </c>
      <c r="G26" s="249" t="e">
        <f>Divident_all!#REF!</f>
        <v>#REF!</v>
      </c>
      <c r="H26" s="173">
        <v>10</v>
      </c>
      <c r="I26" s="78" t="e">
        <f>(((G26*C26)/100)*H26)/100</f>
        <v>#REF!</v>
      </c>
      <c r="J26" s="175" t="e">
        <f>((G26*C26)/100)-I26</f>
        <v>#REF!</v>
      </c>
      <c r="K26" s="176" t="s">
        <v>141</v>
      </c>
      <c r="L26" s="176" t="s">
        <v>142</v>
      </c>
      <c r="M26" s="177">
        <v>7771</v>
      </c>
    </row>
    <row r="27" spans="1:31">
      <c r="B27" s="77" t="s">
        <v>71</v>
      </c>
      <c r="C27" s="172">
        <v>210</v>
      </c>
      <c r="D27" s="79">
        <f ca="1">IFERROR(__xludf.DUMMYFUNCTION("GOOGLEFINANCE(""BSIF"")"),137.6)</f>
        <v>137.6</v>
      </c>
      <c r="E27" s="173">
        <f t="shared" ca="1" si="1"/>
        <v>0.65523809523809518</v>
      </c>
      <c r="F27" s="250" t="e">
        <f t="shared" ca="1" si="6"/>
        <v>#REF!</v>
      </c>
      <c r="G27" s="249" t="e">
        <f>Divident_all!#REF!</f>
        <v>#REF!</v>
      </c>
      <c r="H27" s="173">
        <v>10</v>
      </c>
      <c r="I27" s="178" t="e">
        <f>((((G27*C27)/100)*H27)/100)/100</f>
        <v>#REF!</v>
      </c>
      <c r="J27" s="179" t="e">
        <f>(((G27*C27)/100)-I27)/100</f>
        <v>#REF!</v>
      </c>
      <c r="K27" s="180" t="s">
        <v>141</v>
      </c>
      <c r="L27" s="180" t="s">
        <v>142</v>
      </c>
      <c r="M27" s="177"/>
    </row>
    <row r="28" spans="1:31">
      <c r="B28" s="77" t="s">
        <v>72</v>
      </c>
      <c r="C28" s="172">
        <v>100</v>
      </c>
      <c r="D28" s="78">
        <f ca="1">IFERROR(__xludf.DUMMYFUNCTION("GOOGLEFINANCE(""jpm"")"),138.73)</f>
        <v>138.72999999999999</v>
      </c>
      <c r="E28" s="173">
        <f t="shared" ca="1" si="1"/>
        <v>1.3873</v>
      </c>
      <c r="F28" s="174" t="e">
        <f t="shared" ca="1" si="6"/>
        <v>#REF!</v>
      </c>
      <c r="G28" s="249" t="e">
        <f>Divident_all!#REF!</f>
        <v>#REF!</v>
      </c>
      <c r="H28" s="173">
        <v>10</v>
      </c>
      <c r="I28" s="78" t="e">
        <f t="shared" ref="I28:I64" si="7">(((G28*C28)/100)*H28)/100</f>
        <v>#REF!</v>
      </c>
      <c r="J28" s="175" t="e">
        <f t="shared" ref="J28:J53" si="8">((G28*C28)/100)-I28</f>
        <v>#REF!</v>
      </c>
      <c r="K28" s="180" t="s">
        <v>141</v>
      </c>
      <c r="L28" s="176" t="s">
        <v>143</v>
      </c>
      <c r="M28" s="177">
        <v>278494</v>
      </c>
    </row>
    <row r="29" spans="1:31">
      <c r="B29" s="77" t="s">
        <v>73</v>
      </c>
      <c r="C29" s="172">
        <v>17</v>
      </c>
      <c r="D29" s="78">
        <f ca="1">IFERROR(__xludf.DUMMYFUNCTION("GOOGLEFINANCE(""nycb"")"),8.68)</f>
        <v>8.68</v>
      </c>
      <c r="E29" s="173">
        <f t="shared" ca="1" si="1"/>
        <v>0.51058823529411768</v>
      </c>
      <c r="F29" s="174" t="e">
        <f t="shared" ca="1" si="6"/>
        <v>#REF!</v>
      </c>
      <c r="G29" s="249" t="e">
        <f>Divident_all!#REF!</f>
        <v>#REF!</v>
      </c>
      <c r="H29" s="173">
        <v>10</v>
      </c>
      <c r="I29" s="78" t="e">
        <f t="shared" si="7"/>
        <v>#REF!</v>
      </c>
      <c r="J29" s="175" t="e">
        <f t="shared" si="8"/>
        <v>#REF!</v>
      </c>
      <c r="K29" s="180" t="s">
        <v>141</v>
      </c>
      <c r="L29" s="176" t="s">
        <v>144</v>
      </c>
      <c r="M29" s="177">
        <v>2815</v>
      </c>
    </row>
    <row r="30" spans="1:31">
      <c r="B30" s="77" t="s">
        <v>74</v>
      </c>
      <c r="C30" s="172">
        <v>75</v>
      </c>
      <c r="D30" s="78">
        <f ca="1">IFERROR(__xludf.DUMMYFUNCTION("GOOGLEFINANCE(""CINF"")"),106.74)</f>
        <v>106.74</v>
      </c>
      <c r="E30" s="173">
        <f t="shared" ca="1" si="1"/>
        <v>1.4232</v>
      </c>
      <c r="F30" s="174" t="e">
        <f t="shared" ca="1" si="6"/>
        <v>#REF!</v>
      </c>
      <c r="G30" s="249" t="e">
        <f>Divident_all!#REF!</f>
        <v>#REF!</v>
      </c>
      <c r="H30" s="173">
        <v>10</v>
      </c>
      <c r="I30" s="78" t="e">
        <f t="shared" si="7"/>
        <v>#REF!</v>
      </c>
      <c r="J30" s="175" t="e">
        <f t="shared" si="8"/>
        <v>#REF!</v>
      </c>
      <c r="K30" s="180" t="s">
        <v>141</v>
      </c>
      <c r="L30" s="176" t="s">
        <v>145</v>
      </c>
      <c r="M30" s="177">
        <v>5166</v>
      </c>
    </row>
    <row r="31" spans="1:31">
      <c r="B31" s="77" t="s">
        <v>75</v>
      </c>
      <c r="C31" s="172">
        <v>400</v>
      </c>
      <c r="D31" s="78">
        <f ca="1">IFERROR(__xludf.DUMMYFUNCTION("GOOGLEFINANCE(""AFG"")"),120.04)</f>
        <v>120.04</v>
      </c>
      <c r="E31" s="173">
        <f t="shared" ca="1" si="1"/>
        <v>0.30010000000000003</v>
      </c>
      <c r="F31" s="174" t="e">
        <f t="shared" ca="1" si="6"/>
        <v>#REF!</v>
      </c>
      <c r="G31" s="249" t="e">
        <f>Divident_all!#REF!</f>
        <v>#REF!</v>
      </c>
      <c r="H31" s="173">
        <v>10</v>
      </c>
      <c r="I31" s="78" t="e">
        <f t="shared" si="7"/>
        <v>#REF!</v>
      </c>
      <c r="J31" s="175" t="e">
        <f t="shared" si="8"/>
        <v>#REF!</v>
      </c>
      <c r="K31" s="180" t="s">
        <v>141</v>
      </c>
      <c r="L31" s="180" t="s">
        <v>145</v>
      </c>
      <c r="M31" s="177">
        <v>6600</v>
      </c>
    </row>
    <row r="32" spans="1:31">
      <c r="B32" s="77" t="s">
        <v>76</v>
      </c>
      <c r="C32" s="172">
        <v>30</v>
      </c>
      <c r="D32" s="78">
        <f ca="1">IFERROR(__xludf.DUMMYFUNCTION("GOOGLEFINANCE(""ALLY"")"),26.84)</f>
        <v>26.84</v>
      </c>
      <c r="E32" s="173">
        <f t="shared" ca="1" si="1"/>
        <v>0.89466666666666661</v>
      </c>
      <c r="F32" s="174" t="e">
        <f t="shared" ca="1" si="6"/>
        <v>#REF!</v>
      </c>
      <c r="G32" s="249" t="e">
        <f>Divident_all!#REF!</f>
        <v>#REF!</v>
      </c>
      <c r="H32" s="173">
        <v>10</v>
      </c>
      <c r="I32" s="78" t="e">
        <f t="shared" si="7"/>
        <v>#REF!</v>
      </c>
      <c r="J32" s="175" t="e">
        <f t="shared" si="8"/>
        <v>#REF!</v>
      </c>
      <c r="K32" s="180" t="s">
        <v>141</v>
      </c>
      <c r="L32" s="176" t="s">
        <v>146</v>
      </c>
      <c r="M32" s="177">
        <v>10500</v>
      </c>
    </row>
    <row r="33" spans="1:13">
      <c r="A33" s="181">
        <f ca="1">IFERROR(__xludf.DUMMYFUNCTION("sum(sum(F33:F39)*GOOGLEFINANCE (""Currency:USDRON""))"),356.39070349344)</f>
        <v>356.39070349344001</v>
      </c>
      <c r="B33" s="81" t="s">
        <v>77</v>
      </c>
      <c r="C33" s="182">
        <v>50.5</v>
      </c>
      <c r="D33" s="82">
        <f ca="1">IFERROR(__xludf.DUMMYFUNCTION("GOOGLEFINANCE(""dov"")"),147.01)</f>
        <v>147.01</v>
      </c>
      <c r="E33" s="183">
        <f t="shared" ca="1" si="1"/>
        <v>2.911089108910891</v>
      </c>
      <c r="F33" s="184" t="e">
        <f t="shared" ca="1" si="6"/>
        <v>#REF!</v>
      </c>
      <c r="G33" s="251" t="e">
        <f>Divident_all!#REF!</f>
        <v>#REF!</v>
      </c>
      <c r="H33" s="183">
        <v>10</v>
      </c>
      <c r="I33" s="82" t="e">
        <f t="shared" si="7"/>
        <v>#REF!</v>
      </c>
      <c r="J33" s="185" t="e">
        <f t="shared" si="8"/>
        <v>#REF!</v>
      </c>
      <c r="K33" s="186" t="s">
        <v>147</v>
      </c>
      <c r="L33" s="186" t="s">
        <v>148</v>
      </c>
      <c r="M33" s="187">
        <v>25000</v>
      </c>
    </row>
    <row r="34" spans="1:13">
      <c r="B34" s="81" t="s">
        <v>78</v>
      </c>
      <c r="C34" s="182">
        <v>133</v>
      </c>
      <c r="D34" s="82">
        <f ca="1">IFERROR(__xludf.DUMMYFUNCTION("GOOGLEFINANCE(""ph"")"),319.11)</f>
        <v>319.11</v>
      </c>
      <c r="E34" s="183">
        <f t="shared" ca="1" si="1"/>
        <v>2.3993233082706769</v>
      </c>
      <c r="F34" s="184" t="e">
        <f t="shared" ca="1" si="6"/>
        <v>#REF!</v>
      </c>
      <c r="G34" s="251" t="e">
        <f>Divident_all!#REF!</f>
        <v>#REF!</v>
      </c>
      <c r="H34" s="183">
        <v>10</v>
      </c>
      <c r="I34" s="82" t="e">
        <f t="shared" si="7"/>
        <v>#REF!</v>
      </c>
      <c r="J34" s="185" t="e">
        <f t="shared" si="8"/>
        <v>#REF!</v>
      </c>
      <c r="K34" s="188" t="s">
        <v>147</v>
      </c>
      <c r="L34" s="188" t="s">
        <v>148</v>
      </c>
      <c r="M34" s="187">
        <v>55090</v>
      </c>
    </row>
    <row r="35" spans="1:13">
      <c r="B35" s="81" t="s">
        <v>79</v>
      </c>
      <c r="C35" s="182">
        <v>52</v>
      </c>
      <c r="D35" s="82">
        <f ca="1">IFERROR(__xludf.DUMMYFUNCTION("GOOGLEFINANCE(""EMR"")"),86.36)</f>
        <v>86.36</v>
      </c>
      <c r="E35" s="183">
        <f t="shared" ca="1" si="1"/>
        <v>1.6607692307692308</v>
      </c>
      <c r="F35" s="184" t="e">
        <f t="shared" ca="1" si="6"/>
        <v>#REF!</v>
      </c>
      <c r="G35" s="251" t="e">
        <f>Divident_all!#REF!</f>
        <v>#REF!</v>
      </c>
      <c r="H35" s="183">
        <v>10</v>
      </c>
      <c r="I35" s="82" t="e">
        <f t="shared" si="7"/>
        <v>#REF!</v>
      </c>
      <c r="J35" s="185" t="e">
        <f t="shared" si="8"/>
        <v>#REF!</v>
      </c>
      <c r="K35" s="188" t="s">
        <v>147</v>
      </c>
      <c r="L35" s="188" t="s">
        <v>148</v>
      </c>
      <c r="M35" s="187">
        <v>86700</v>
      </c>
    </row>
    <row r="36" spans="1:13">
      <c r="B36" s="81" t="s">
        <v>80</v>
      </c>
      <c r="C36" s="182">
        <v>157</v>
      </c>
      <c r="D36" s="82">
        <f ca="1">IFERROR(__xludf.DUMMYFUNCTION("GOOGLEFINANCE(""CMI"")"),233.61)</f>
        <v>233.61</v>
      </c>
      <c r="E36" s="183">
        <f t="shared" ca="1" si="1"/>
        <v>1.4879617834394905</v>
      </c>
      <c r="F36" s="184" t="e">
        <f t="shared" ca="1" si="6"/>
        <v>#REF!</v>
      </c>
      <c r="G36" s="251" t="e">
        <f>Divident_all!#REF!</f>
        <v>#REF!</v>
      </c>
      <c r="H36" s="183">
        <v>10</v>
      </c>
      <c r="I36" s="82" t="e">
        <f t="shared" si="7"/>
        <v>#REF!</v>
      </c>
      <c r="J36" s="185" t="e">
        <f t="shared" si="8"/>
        <v>#REF!</v>
      </c>
      <c r="K36" s="188" t="s">
        <v>147</v>
      </c>
      <c r="L36" s="188" t="s">
        <v>148</v>
      </c>
      <c r="M36" s="187">
        <v>59900</v>
      </c>
    </row>
    <row r="37" spans="1:13">
      <c r="B37" s="81" t="s">
        <v>81</v>
      </c>
      <c r="C37" s="182">
        <v>126</v>
      </c>
      <c r="D37" s="82">
        <f ca="1">IFERROR(__xludf.DUMMYFUNCTION("GOOGLEFINANCE(""gd"")"),227.69)</f>
        <v>227.69</v>
      </c>
      <c r="E37" s="183">
        <f t="shared" ca="1" si="1"/>
        <v>1.807063492063492</v>
      </c>
      <c r="F37" s="184" t="e">
        <f t="shared" ca="1" si="6"/>
        <v>#REF!</v>
      </c>
      <c r="G37" s="251" t="e">
        <f>Divident_all!#REF!</f>
        <v>#REF!</v>
      </c>
      <c r="H37" s="183">
        <v>10</v>
      </c>
      <c r="I37" s="82" t="e">
        <f t="shared" si="7"/>
        <v>#REF!</v>
      </c>
      <c r="J37" s="185" t="e">
        <f t="shared" si="8"/>
        <v>#REF!</v>
      </c>
      <c r="K37" s="188" t="s">
        <v>147</v>
      </c>
      <c r="L37" s="186" t="s">
        <v>149</v>
      </c>
      <c r="M37" s="187">
        <v>100000</v>
      </c>
    </row>
    <row r="38" spans="1:13">
      <c r="B38" s="81" t="s">
        <v>82</v>
      </c>
      <c r="C38" s="182">
        <v>120</v>
      </c>
      <c r="D38" s="82">
        <f ca="1">IFERROR(__xludf.DUMMYFUNCTION("GOOGLEFINANCE(""DE"")"),387.77)</f>
        <v>387.77</v>
      </c>
      <c r="E38" s="183">
        <f t="shared" ca="1" si="1"/>
        <v>3.2314166666666666</v>
      </c>
      <c r="F38" s="184" t="e">
        <f t="shared" ca="1" si="6"/>
        <v>#REF!</v>
      </c>
      <c r="G38" s="251" t="e">
        <f>Divident_all!#REF!</f>
        <v>#REF!</v>
      </c>
      <c r="H38" s="183">
        <v>10</v>
      </c>
      <c r="I38" s="82" t="e">
        <f t="shared" si="7"/>
        <v>#REF!</v>
      </c>
      <c r="J38" s="185" t="e">
        <f t="shared" si="8"/>
        <v>#REF!</v>
      </c>
      <c r="K38" s="188" t="s">
        <v>147</v>
      </c>
      <c r="L38" s="186" t="s">
        <v>150</v>
      </c>
      <c r="M38" s="187">
        <v>75550</v>
      </c>
    </row>
    <row r="39" spans="1:13">
      <c r="B39" s="81" t="s">
        <v>83</v>
      </c>
      <c r="C39" s="182">
        <v>120</v>
      </c>
      <c r="D39" s="82">
        <f ca="1">IFERROR(__xludf.DUMMYFUNCTION("GOOGLEFINANCE(""cat"")"),223.68)</f>
        <v>223.68</v>
      </c>
      <c r="E39" s="183">
        <f t="shared" ca="1" si="1"/>
        <v>1.8640000000000001</v>
      </c>
      <c r="F39" s="184" t="e">
        <f t="shared" ca="1" si="6"/>
        <v>#REF!</v>
      </c>
      <c r="G39" s="251" t="e">
        <f>Divident_all!#REF!</f>
        <v>#REF!</v>
      </c>
      <c r="H39" s="183">
        <v>10</v>
      </c>
      <c r="I39" s="82" t="e">
        <f t="shared" si="7"/>
        <v>#REF!</v>
      </c>
      <c r="J39" s="185" t="e">
        <f t="shared" si="8"/>
        <v>#REF!</v>
      </c>
      <c r="K39" s="188" t="s">
        <v>147</v>
      </c>
      <c r="L39" s="188" t="s">
        <v>150</v>
      </c>
      <c r="M39" s="187">
        <v>107700</v>
      </c>
    </row>
    <row r="40" spans="1:13">
      <c r="A40" s="189">
        <f ca="1">IFERROR(__xludf.DUMMYFUNCTION("sum(sum(F40:F48)*GOOGLEFINANCE (""Currency:USDRON""))"),1095.07991466358)</f>
        <v>1095.07991466358</v>
      </c>
      <c r="B40" s="84" t="s">
        <v>84</v>
      </c>
      <c r="C40" s="190">
        <v>27.5</v>
      </c>
      <c r="D40" s="85">
        <f ca="1">IFERROR(__xludf.DUMMYFUNCTION("GOOGLEFINANCE(""epr"")"),39.64)</f>
        <v>39.64</v>
      </c>
      <c r="E40" s="191">
        <f ca="1">D40/(C40*3)</f>
        <v>0.48048484848484851</v>
      </c>
      <c r="F40" s="192" t="e">
        <f t="shared" ca="1" si="6"/>
        <v>#REF!</v>
      </c>
      <c r="G40" s="252" t="e">
        <f>Divident_all!#REF!</f>
        <v>#REF!</v>
      </c>
      <c r="H40" s="191">
        <v>10</v>
      </c>
      <c r="I40" s="85" t="e">
        <f t="shared" si="7"/>
        <v>#REF!</v>
      </c>
      <c r="J40" s="193" t="e">
        <f t="shared" si="8"/>
        <v>#REF!</v>
      </c>
      <c r="K40" s="194" t="s">
        <v>151</v>
      </c>
      <c r="L40" s="194" t="s">
        <v>152</v>
      </c>
      <c r="M40" s="195">
        <v>53</v>
      </c>
    </row>
    <row r="41" spans="1:13">
      <c r="B41" s="84" t="s">
        <v>85</v>
      </c>
      <c r="C41" s="190">
        <v>156</v>
      </c>
      <c r="D41" s="85">
        <f ca="1">IFERROR(__xludf.DUMMYFUNCTION("GOOGLEFINANCE(""amt"")"),206.89)</f>
        <v>206.89</v>
      </c>
      <c r="E41" s="191">
        <f t="shared" ref="E41:E43" ca="1" si="9">D41/C41</f>
        <v>1.3262179487179486</v>
      </c>
      <c r="F41" s="192" t="e">
        <f t="shared" ca="1" si="6"/>
        <v>#REF!</v>
      </c>
      <c r="G41" s="252" t="e">
        <f>Divident_all!#REF!</f>
        <v>#REF!</v>
      </c>
      <c r="H41" s="191">
        <v>10</v>
      </c>
      <c r="I41" s="85" t="e">
        <f t="shared" si="7"/>
        <v>#REF!</v>
      </c>
      <c r="J41" s="193" t="e">
        <f t="shared" si="8"/>
        <v>#REF!</v>
      </c>
      <c r="K41" s="196" t="s">
        <v>151</v>
      </c>
      <c r="L41" s="196" t="s">
        <v>152</v>
      </c>
      <c r="M41" s="195">
        <v>6378</v>
      </c>
    </row>
    <row r="42" spans="1:13">
      <c r="B42" s="84" t="s">
        <v>86</v>
      </c>
      <c r="C42" s="190">
        <v>25</v>
      </c>
      <c r="D42" s="85">
        <f ca="1">IFERROR(__xludf.DUMMYFUNCTION("GOOGLEFINANCE(""glpi"")"),50.85)</f>
        <v>50.85</v>
      </c>
      <c r="E42" s="191">
        <f t="shared" ca="1" si="9"/>
        <v>2.0340000000000003</v>
      </c>
      <c r="F42" s="192" t="e">
        <f t="shared" ca="1" si="6"/>
        <v>#REF!</v>
      </c>
      <c r="G42" s="252" t="e">
        <f>Divident_all!#REF!</f>
        <v>#REF!</v>
      </c>
      <c r="H42" s="191">
        <v>10</v>
      </c>
      <c r="I42" s="85" t="e">
        <f t="shared" si="7"/>
        <v>#REF!</v>
      </c>
      <c r="J42" s="193" t="e">
        <f t="shared" si="8"/>
        <v>#REF!</v>
      </c>
      <c r="K42" s="196" t="s">
        <v>151</v>
      </c>
      <c r="L42" s="196" t="s">
        <v>152</v>
      </c>
      <c r="M42" s="195">
        <v>17</v>
      </c>
    </row>
    <row r="43" spans="1:13">
      <c r="B43" s="84" t="s">
        <v>87</v>
      </c>
      <c r="C43" s="190">
        <v>108</v>
      </c>
      <c r="D43" s="85">
        <f ca="1">IFERROR(__xludf.DUMMYFUNCTION("GOOGLEFINANCE(""frt"")"),96.37)</f>
        <v>96.37</v>
      </c>
      <c r="E43" s="191">
        <f t="shared" ca="1" si="9"/>
        <v>0.89231481481481489</v>
      </c>
      <c r="F43" s="192" t="e">
        <f t="shared" ca="1" si="6"/>
        <v>#REF!</v>
      </c>
      <c r="G43" s="252" t="e">
        <f>Divident_all!#REF!</f>
        <v>#REF!</v>
      </c>
      <c r="H43" s="191">
        <v>10</v>
      </c>
      <c r="I43" s="85" t="e">
        <f t="shared" si="7"/>
        <v>#REF!</v>
      </c>
      <c r="J43" s="193" t="e">
        <f t="shared" si="8"/>
        <v>#REF!</v>
      </c>
      <c r="K43" s="196" t="s">
        <v>151</v>
      </c>
      <c r="L43" s="194" t="s">
        <v>153</v>
      </c>
      <c r="M43" s="195">
        <v>310</v>
      </c>
    </row>
    <row r="44" spans="1:13">
      <c r="B44" s="84" t="s">
        <v>88</v>
      </c>
      <c r="C44" s="190">
        <v>24.85</v>
      </c>
      <c r="D44" s="85">
        <f ca="1">IFERROR(__xludf.DUMMYFUNCTION("GOOGLEFINANCE(""o"")"),60.77)</f>
        <v>60.77</v>
      </c>
      <c r="E44" s="191">
        <f ca="1">D44/(C44*3)</f>
        <v>0.81515761234071082</v>
      </c>
      <c r="F44" s="192" t="e">
        <f t="shared" ca="1" si="6"/>
        <v>#REF!</v>
      </c>
      <c r="G44" s="252" t="e">
        <f>Divident_all!#REF!</f>
        <v>#REF!</v>
      </c>
      <c r="H44" s="191">
        <v>10</v>
      </c>
      <c r="I44" s="85" t="e">
        <f t="shared" si="7"/>
        <v>#REF!</v>
      </c>
      <c r="J44" s="193" t="e">
        <f t="shared" si="8"/>
        <v>#REF!</v>
      </c>
      <c r="K44" s="194" t="s">
        <v>151</v>
      </c>
      <c r="L44" s="194" t="s">
        <v>153</v>
      </c>
      <c r="M44" s="195">
        <v>380</v>
      </c>
    </row>
    <row r="45" spans="1:13">
      <c r="B45" s="84" t="s">
        <v>89</v>
      </c>
      <c r="C45" s="190">
        <v>55</v>
      </c>
      <c r="D45" s="85">
        <f ca="1">IFERROR(__xludf.DUMMYFUNCTION("GOOGLEFINANCE(""nnn"")"),42.54)</f>
        <v>42.54</v>
      </c>
      <c r="E45" s="191">
        <f t="shared" ref="E45:E64" ca="1" si="10">D45/C45</f>
        <v>0.77345454545454539</v>
      </c>
      <c r="F45" s="192" t="e">
        <f t="shared" ca="1" si="6"/>
        <v>#REF!</v>
      </c>
      <c r="G45" s="252" t="e">
        <f>Divident_all!#REF!</f>
        <v>#REF!</v>
      </c>
      <c r="H45" s="191">
        <v>10</v>
      </c>
      <c r="I45" s="85" t="e">
        <f t="shared" si="7"/>
        <v>#REF!</v>
      </c>
      <c r="J45" s="193" t="e">
        <f t="shared" si="8"/>
        <v>#REF!</v>
      </c>
      <c r="K45" s="196" t="s">
        <v>151</v>
      </c>
      <c r="L45" s="196" t="s">
        <v>153</v>
      </c>
      <c r="M45" s="195">
        <v>72</v>
      </c>
    </row>
    <row r="46" spans="1:13">
      <c r="B46" s="84" t="s">
        <v>90</v>
      </c>
      <c r="C46" s="190">
        <v>180</v>
      </c>
      <c r="D46" s="85">
        <f ca="1">IFERROR(__xludf.DUMMYFUNCTION("GOOGLEFINANCE(""spg"")"),107.56)</f>
        <v>107.56</v>
      </c>
      <c r="E46" s="191">
        <f t="shared" ca="1" si="10"/>
        <v>0.59755555555555562</v>
      </c>
      <c r="F46" s="192" t="e">
        <f t="shared" ca="1" si="6"/>
        <v>#REF!</v>
      </c>
      <c r="G46" s="252" t="e">
        <f>Divident_all!#REF!</f>
        <v>#REF!</v>
      </c>
      <c r="H46" s="191">
        <v>10</v>
      </c>
      <c r="I46" s="85" t="e">
        <f t="shared" si="7"/>
        <v>#REF!</v>
      </c>
      <c r="J46" s="193" t="e">
        <f t="shared" si="8"/>
        <v>#REF!</v>
      </c>
      <c r="K46" s="196" t="s">
        <v>151</v>
      </c>
      <c r="L46" s="196" t="s">
        <v>153</v>
      </c>
      <c r="M46" s="195">
        <v>2400</v>
      </c>
    </row>
    <row r="47" spans="1:13">
      <c r="B47" s="84" t="s">
        <v>91</v>
      </c>
      <c r="C47" s="190">
        <v>40</v>
      </c>
      <c r="D47" s="85">
        <f ca="1">IFERROR(__xludf.DUMMYFUNCTION("GOOGLEFINANCE(""gnl"")"),11.5)</f>
        <v>11.5</v>
      </c>
      <c r="E47" s="191">
        <f t="shared" ca="1" si="10"/>
        <v>0.28749999999999998</v>
      </c>
      <c r="F47" s="192" t="e">
        <f t="shared" ca="1" si="6"/>
        <v>#REF!</v>
      </c>
      <c r="G47" s="252" t="e">
        <f>Divident_all!#REF!</f>
        <v>#REF!</v>
      </c>
      <c r="H47" s="191">
        <v>10</v>
      </c>
      <c r="I47" s="85" t="e">
        <f t="shared" si="7"/>
        <v>#REF!</v>
      </c>
      <c r="J47" s="193" t="e">
        <f t="shared" si="8"/>
        <v>#REF!</v>
      </c>
      <c r="K47" s="196" t="s">
        <v>151</v>
      </c>
      <c r="L47" s="194" t="s">
        <v>154</v>
      </c>
      <c r="M47" s="195">
        <v>1</v>
      </c>
    </row>
    <row r="48" spans="1:13">
      <c r="B48" s="84" t="s">
        <v>92</v>
      </c>
      <c r="C48" s="190">
        <v>40</v>
      </c>
      <c r="D48" s="85">
        <f ca="1">IFERROR(__xludf.DUMMYFUNCTION("GOOGLEFINANCE(""abr"")"),10.32)</f>
        <v>10.32</v>
      </c>
      <c r="E48" s="191">
        <f t="shared" ca="1" si="10"/>
        <v>0.25800000000000001</v>
      </c>
      <c r="F48" s="192" t="e">
        <f t="shared" ca="1" si="6"/>
        <v>#REF!</v>
      </c>
      <c r="G48" s="252" t="e">
        <f>Divident_all!#REF!</f>
        <v>#REF!</v>
      </c>
      <c r="H48" s="191">
        <v>10</v>
      </c>
      <c r="I48" s="85" t="e">
        <f t="shared" si="7"/>
        <v>#REF!</v>
      </c>
      <c r="J48" s="193" t="e">
        <f t="shared" si="8"/>
        <v>#REF!</v>
      </c>
      <c r="K48" s="196" t="s">
        <v>151</v>
      </c>
      <c r="L48" s="194" t="s">
        <v>155</v>
      </c>
      <c r="M48" s="195">
        <v>579</v>
      </c>
    </row>
    <row r="49" spans="1:31">
      <c r="A49" s="197">
        <f ca="1">IFERROR(__xludf.DUMMYFUNCTION("sum(sum(F49:F53)*GOOGLEFINANCE (""Currency:USDRON""))"),299.78230877402)</f>
        <v>299.78230877402001</v>
      </c>
      <c r="B49" s="86" t="s">
        <v>93</v>
      </c>
      <c r="C49" s="198">
        <v>75</v>
      </c>
      <c r="D49" s="87">
        <f ca="1">IFERROR(__xludf.DUMMYFUNCTION("GOOGLEFINANCE(""QCOM"")"),120.16)</f>
        <v>120.16</v>
      </c>
      <c r="E49" s="199">
        <f t="shared" ca="1" si="10"/>
        <v>1.6021333333333332</v>
      </c>
      <c r="F49" s="200" t="e">
        <f t="shared" ca="1" si="6"/>
        <v>#REF!</v>
      </c>
      <c r="G49" s="253" t="e">
        <f>Divident_all!#REF!</f>
        <v>#REF!</v>
      </c>
      <c r="H49" s="199">
        <v>10</v>
      </c>
      <c r="I49" s="87" t="e">
        <f t="shared" si="7"/>
        <v>#REF!</v>
      </c>
      <c r="J49" s="201" t="e">
        <f t="shared" si="8"/>
        <v>#REF!</v>
      </c>
      <c r="K49" s="202" t="s">
        <v>156</v>
      </c>
      <c r="L49" s="202" t="s">
        <v>157</v>
      </c>
      <c r="M49" s="203">
        <v>45000</v>
      </c>
    </row>
    <row r="50" spans="1:31">
      <c r="B50" s="86" t="s">
        <v>94</v>
      </c>
      <c r="C50" s="198">
        <v>42.94</v>
      </c>
      <c r="D50" s="87">
        <f ca="1">IFERROR(__xludf.DUMMYFUNCTION("GOOGLEFINANCE(""tsm"")"),87.2)</f>
        <v>87.2</v>
      </c>
      <c r="E50" s="199">
        <f t="shared" ca="1" si="10"/>
        <v>2.0307405682347461</v>
      </c>
      <c r="F50" s="200" t="e">
        <f t="shared" ca="1" si="6"/>
        <v>#REF!</v>
      </c>
      <c r="G50" s="253" t="e">
        <f>Divident_all!#REF!</f>
        <v>#REF!</v>
      </c>
      <c r="H50" s="199">
        <v>21</v>
      </c>
      <c r="I50" s="87" t="e">
        <f t="shared" si="7"/>
        <v>#REF!</v>
      </c>
      <c r="J50" s="201" t="e">
        <f t="shared" si="8"/>
        <v>#REF!</v>
      </c>
      <c r="K50" s="204" t="s">
        <v>156</v>
      </c>
      <c r="L50" s="204" t="s">
        <v>157</v>
      </c>
      <c r="M50" s="203">
        <v>54193</v>
      </c>
    </row>
    <row r="51" spans="1:31">
      <c r="B51" s="86" t="s">
        <v>95</v>
      </c>
      <c r="C51" s="198">
        <v>68</v>
      </c>
      <c r="D51" s="87">
        <f ca="1">IFERROR(__xludf.DUMMYFUNCTION("GOOGLEFINANCE(""msf"")"),260.95)</f>
        <v>260.95</v>
      </c>
      <c r="E51" s="199">
        <f t="shared" ca="1" si="10"/>
        <v>3.8374999999999999</v>
      </c>
      <c r="F51" s="200" t="e">
        <f t="shared" ca="1" si="6"/>
        <v>#REF!</v>
      </c>
      <c r="G51" s="253" t="e">
        <f>Divident_all!#REF!</f>
        <v>#REF!</v>
      </c>
      <c r="H51" s="199">
        <v>10</v>
      </c>
      <c r="I51" s="87" t="e">
        <f t="shared" si="7"/>
        <v>#REF!</v>
      </c>
      <c r="J51" s="201" t="e">
        <f t="shared" si="8"/>
        <v>#REF!</v>
      </c>
      <c r="K51" s="204" t="s">
        <v>156</v>
      </c>
      <c r="L51" s="202" t="s">
        <v>158</v>
      </c>
      <c r="M51" s="203">
        <v>221000</v>
      </c>
    </row>
    <row r="52" spans="1:31">
      <c r="B52" s="86" t="s">
        <v>96</v>
      </c>
      <c r="C52" s="198">
        <v>23</v>
      </c>
      <c r="D52" s="87">
        <f ca="1">IFERROR(__xludf.DUMMYFUNCTION("GOOGLEFINANCE(""aapl"")"),165.21)</f>
        <v>165.21</v>
      </c>
      <c r="E52" s="199">
        <f t="shared" ca="1" si="10"/>
        <v>7.1830434782608696</v>
      </c>
      <c r="F52" s="200" t="e">
        <f t="shared" ca="1" si="6"/>
        <v>#REF!</v>
      </c>
      <c r="G52" s="253" t="e">
        <f>Divident_all!#REF!</f>
        <v>#REF!</v>
      </c>
      <c r="H52" s="199">
        <v>10</v>
      </c>
      <c r="I52" s="87" t="e">
        <f t="shared" si="7"/>
        <v>#REF!</v>
      </c>
      <c r="J52" s="201" t="e">
        <f t="shared" si="8"/>
        <v>#REF!</v>
      </c>
      <c r="K52" s="204" t="s">
        <v>156</v>
      </c>
      <c r="L52" s="202" t="s">
        <v>159</v>
      </c>
      <c r="M52" s="203">
        <v>154000</v>
      </c>
    </row>
    <row r="53" spans="1:31">
      <c r="B53" s="86" t="s">
        <v>97</v>
      </c>
      <c r="C53" s="198">
        <v>165</v>
      </c>
      <c r="D53" s="87">
        <f ca="1">IFERROR(__xludf.DUMMYFUNCTION("GOOGLEFINANCE(""ibm"")"),128.14)</f>
        <v>128.13999999999999</v>
      </c>
      <c r="E53" s="199">
        <f t="shared" ca="1" si="10"/>
        <v>0.77660606060606052</v>
      </c>
      <c r="F53" s="200" t="e">
        <f t="shared" ca="1" si="6"/>
        <v>#REF!</v>
      </c>
      <c r="G53" s="253" t="e">
        <f>Divident_all!#REF!</f>
        <v>#REF!</v>
      </c>
      <c r="H53" s="199">
        <v>10</v>
      </c>
      <c r="I53" s="87" t="e">
        <f t="shared" si="7"/>
        <v>#REF!</v>
      </c>
      <c r="J53" s="201" t="e">
        <f t="shared" si="8"/>
        <v>#REF!</v>
      </c>
      <c r="K53" s="204" t="s">
        <v>156</v>
      </c>
      <c r="L53" s="203" t="s">
        <v>160</v>
      </c>
      <c r="M53" s="203">
        <v>282100</v>
      </c>
    </row>
    <row r="54" spans="1:31">
      <c r="A54" s="205">
        <f ca="1">IFERROR(__xludf.DUMMYFUNCTION("sum(sum(F54:F56)*GOOGLEFINANCE (""Currency:USDRON""))"),191.907760892981)</f>
        <v>191.907760892981</v>
      </c>
      <c r="B54" s="88" t="s">
        <v>98</v>
      </c>
      <c r="C54" s="206">
        <v>113</v>
      </c>
      <c r="D54" s="89">
        <f ca="1">IFERROR(__xludf.DUMMYFUNCTION("GOOGLEFINANCE(""jnj"")"),165.84)</f>
        <v>165.84</v>
      </c>
      <c r="E54" s="207">
        <f t="shared" ca="1" si="10"/>
        <v>1.4676106194690266</v>
      </c>
      <c r="F54" s="208" t="e">
        <f t="shared" ca="1" si="6"/>
        <v>#REF!</v>
      </c>
      <c r="G54" s="254" t="e">
        <f>Divident_all!#REF!</f>
        <v>#REF!</v>
      </c>
      <c r="H54" s="209">
        <v>10</v>
      </c>
      <c r="I54" s="210" t="e">
        <f t="shared" si="7"/>
        <v>#REF!</v>
      </c>
      <c r="J54" s="211" t="e">
        <f t="shared" ref="J54:J64" si="11">(G54*C54)/100-I54</f>
        <v>#REF!</v>
      </c>
      <c r="K54" s="212" t="s">
        <v>161</v>
      </c>
      <c r="L54" s="212" t="s">
        <v>162</v>
      </c>
      <c r="M54" s="213">
        <v>141700</v>
      </c>
    </row>
    <row r="55" spans="1:31">
      <c r="B55" s="90" t="s">
        <v>99</v>
      </c>
      <c r="C55" s="206">
        <v>41</v>
      </c>
      <c r="D55" s="89">
        <f ca="1">IFERROR(__xludf.DUMMYFUNCTION("GOOGLEFINANCE(""pfe"")"),41.19)</f>
        <v>41.19</v>
      </c>
      <c r="E55" s="207">
        <f t="shared" ca="1" si="10"/>
        <v>1.0046341463414634</v>
      </c>
      <c r="F55" s="208" t="e">
        <f t="shared" ca="1" si="6"/>
        <v>#REF!</v>
      </c>
      <c r="G55" s="254" t="e">
        <f>Divident_all!#REF!</f>
        <v>#REF!</v>
      </c>
      <c r="H55" s="209">
        <v>10</v>
      </c>
      <c r="I55" s="210" t="e">
        <f t="shared" si="7"/>
        <v>#REF!</v>
      </c>
      <c r="J55" s="211" t="e">
        <f t="shared" si="11"/>
        <v>#REF!</v>
      </c>
      <c r="K55" s="214" t="s">
        <v>161</v>
      </c>
      <c r="L55" s="214" t="s">
        <v>162</v>
      </c>
      <c r="M55" s="213">
        <v>79000</v>
      </c>
    </row>
    <row r="56" spans="1:31">
      <c r="B56" s="90" t="s">
        <v>100</v>
      </c>
      <c r="C56" s="206">
        <v>148</v>
      </c>
      <c r="D56" s="89">
        <f ca="1">IFERROR(__xludf.DUMMYFUNCTION("GOOGLEFINANCE(""abbv"")"),161.59)</f>
        <v>161.59</v>
      </c>
      <c r="E56" s="207">
        <f t="shared" ca="1" si="10"/>
        <v>1.0918243243243244</v>
      </c>
      <c r="F56" s="208" t="e">
        <f t="shared" ca="1" si="6"/>
        <v>#REF!</v>
      </c>
      <c r="G56" s="254" t="e">
        <f>Divident_all!#REF!</f>
        <v>#REF!</v>
      </c>
      <c r="H56" s="209">
        <v>10</v>
      </c>
      <c r="I56" s="210" t="e">
        <f t="shared" si="7"/>
        <v>#REF!</v>
      </c>
      <c r="J56" s="211" t="e">
        <f t="shared" si="11"/>
        <v>#REF!</v>
      </c>
      <c r="K56" s="214" t="s">
        <v>161</v>
      </c>
      <c r="L56" s="214" t="s">
        <v>162</v>
      </c>
      <c r="M56" s="213">
        <v>50000</v>
      </c>
    </row>
    <row r="57" spans="1:31">
      <c r="A57" s="215">
        <f ca="1">IFERROR(__xludf.DUMMYFUNCTION("sum(sum(F57:F58)*GOOGLEFINANCE (""Currency:USDRON""))"),184.825113226675)</f>
        <v>184.825113226675</v>
      </c>
      <c r="B57" s="91" t="s">
        <v>101</v>
      </c>
      <c r="C57" s="93">
        <v>65.25</v>
      </c>
      <c r="D57" s="92">
        <f ca="1">IFERROR(__xludf.DUMMYFUNCTION("GOOGLEFINANCE(""vz"")"),39.22)</f>
        <v>39.22</v>
      </c>
      <c r="E57" s="216">
        <f t="shared" ca="1" si="10"/>
        <v>0.60107279693486593</v>
      </c>
      <c r="F57" s="217" t="e">
        <f t="shared" ca="1" si="6"/>
        <v>#REF!</v>
      </c>
      <c r="G57" s="218" t="e">
        <f>Divident_all!#REF!</f>
        <v>#REF!</v>
      </c>
      <c r="H57" s="219">
        <v>10</v>
      </c>
      <c r="I57" s="220" t="e">
        <f t="shared" si="7"/>
        <v>#REF!</v>
      </c>
      <c r="J57" s="221" t="e">
        <f t="shared" si="11"/>
        <v>#REF!</v>
      </c>
      <c r="K57" s="222" t="s">
        <v>163</v>
      </c>
      <c r="L57" s="222" t="s">
        <v>164</v>
      </c>
      <c r="M57" s="223">
        <v>119400</v>
      </c>
    </row>
    <row r="58" spans="1:31">
      <c r="B58" s="93" t="s">
        <v>102</v>
      </c>
      <c r="C58" s="93">
        <v>27.75</v>
      </c>
      <c r="D58" s="92">
        <f ca="1">IFERROR(__xludf.DUMMYFUNCTION("GOOGLEFINANCE(""t"")"),19.93)</f>
        <v>19.93</v>
      </c>
      <c r="E58" s="216">
        <f t="shared" ca="1" si="10"/>
        <v>0.71819819819819819</v>
      </c>
      <c r="F58" s="217" t="e">
        <f t="shared" ca="1" si="6"/>
        <v>#REF!</v>
      </c>
      <c r="G58" s="218" t="e">
        <f>Divident_all!#REF!</f>
        <v>#REF!</v>
      </c>
      <c r="H58" s="219">
        <v>10</v>
      </c>
      <c r="I58" s="220" t="e">
        <f t="shared" si="7"/>
        <v>#REF!</v>
      </c>
      <c r="J58" s="221" t="e">
        <f t="shared" si="11"/>
        <v>#REF!</v>
      </c>
      <c r="K58" s="224" t="s">
        <v>163</v>
      </c>
      <c r="L58" s="224" t="s">
        <v>164</v>
      </c>
      <c r="M58" s="225">
        <v>172400</v>
      </c>
    </row>
    <row r="59" spans="1:31">
      <c r="A59" s="226">
        <f ca="1">IFERROR(__xludf.DUMMYFUNCTION("sum(sum(F59:F63)*GOOGLEFINANCE (""Currency:USDRON""))"),332.634457329636)</f>
        <v>332.63445732963601</v>
      </c>
      <c r="B59" s="94" t="s">
        <v>103</v>
      </c>
      <c r="C59" s="94">
        <v>68</v>
      </c>
      <c r="D59" s="95">
        <f ca="1">IFERROR(__xludf.DUMMYFUNCTION("GOOGLEFINANCE(""so"")"),71.94)</f>
        <v>71.94</v>
      </c>
      <c r="E59" s="227">
        <f t="shared" ca="1" si="10"/>
        <v>1.0579411764705882</v>
      </c>
      <c r="F59" s="228" t="e">
        <f t="shared" ca="1" si="6"/>
        <v>#REF!</v>
      </c>
      <c r="G59" s="255" t="e">
        <f>Divident_all!#REF!</f>
        <v>#REF!</v>
      </c>
      <c r="H59" s="229">
        <v>10</v>
      </c>
      <c r="I59" s="230" t="e">
        <f t="shared" si="7"/>
        <v>#REF!</v>
      </c>
      <c r="J59" s="231" t="e">
        <f t="shared" si="11"/>
        <v>#REF!</v>
      </c>
      <c r="K59" s="232" t="s">
        <v>165</v>
      </c>
      <c r="L59" s="232" t="s">
        <v>166</v>
      </c>
      <c r="M59" s="233">
        <v>27027</v>
      </c>
      <c r="N59" s="234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</row>
    <row r="60" spans="1:31">
      <c r="A60" s="166"/>
      <c r="B60" s="94" t="s">
        <v>104</v>
      </c>
      <c r="C60" s="94">
        <v>100.5</v>
      </c>
      <c r="D60" s="95">
        <f ca="1">IFERROR(__xludf.DUMMYFUNCTION("GOOGLEFINANCE(""DUK"")"),97.64)</f>
        <v>97.64</v>
      </c>
      <c r="E60" s="227">
        <f t="shared" ca="1" si="10"/>
        <v>0.97154228855721392</v>
      </c>
      <c r="F60" s="228" t="e">
        <f t="shared" ca="1" si="6"/>
        <v>#REF!</v>
      </c>
      <c r="G60" s="255" t="e">
        <f>Divident_all!#REF!</f>
        <v>#REF!</v>
      </c>
      <c r="H60" s="229">
        <v>10</v>
      </c>
      <c r="I60" s="230" t="e">
        <f t="shared" si="7"/>
        <v>#REF!</v>
      </c>
      <c r="J60" s="231" t="e">
        <f t="shared" si="11"/>
        <v>#REF!</v>
      </c>
      <c r="K60" s="235" t="s">
        <v>165</v>
      </c>
      <c r="L60" s="235" t="s">
        <v>166</v>
      </c>
      <c r="M60" s="233">
        <v>27605</v>
      </c>
      <c r="N60" s="234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</row>
    <row r="61" spans="1:31">
      <c r="A61" s="166"/>
      <c r="B61" s="94" t="s">
        <v>105</v>
      </c>
      <c r="C61" s="94">
        <v>73.75</v>
      </c>
      <c r="D61" s="95">
        <f ca="1">IFERROR(__xludf.DUMMYFUNCTION("GOOGLEFINANCE(""EIX"")"),71.61)</f>
        <v>71.61</v>
      </c>
      <c r="E61" s="227">
        <f t="shared" ca="1" si="10"/>
        <v>0.97098305084745762</v>
      </c>
      <c r="F61" s="228" t="e">
        <f t="shared" ca="1" si="6"/>
        <v>#REF!</v>
      </c>
      <c r="G61" s="255" t="e">
        <f>Divident_all!#REF!</f>
        <v>#REF!</v>
      </c>
      <c r="H61" s="229">
        <v>10</v>
      </c>
      <c r="I61" s="230" t="e">
        <f t="shared" si="7"/>
        <v>#REF!</v>
      </c>
      <c r="J61" s="231" t="e">
        <f t="shared" si="11"/>
        <v>#REF!</v>
      </c>
      <c r="K61" s="235" t="s">
        <v>165</v>
      </c>
      <c r="L61" s="235" t="s">
        <v>166</v>
      </c>
      <c r="M61" s="233">
        <v>13003</v>
      </c>
      <c r="N61" s="234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</row>
    <row r="62" spans="1:31">
      <c r="A62" s="166"/>
      <c r="B62" s="94" t="s">
        <v>106</v>
      </c>
      <c r="C62" s="94">
        <v>39.75</v>
      </c>
      <c r="D62" s="95">
        <f ca="1">IFERROR(__xludf.DUMMYFUNCTION("GOOGLEFINANCE(""awr"")"),91.21)</f>
        <v>91.21</v>
      </c>
      <c r="E62" s="227">
        <f t="shared" ca="1" si="10"/>
        <v>2.2945911949685533</v>
      </c>
      <c r="F62" s="228" t="e">
        <f t="shared" ca="1" si="6"/>
        <v>#REF!</v>
      </c>
      <c r="G62" s="255" t="e">
        <f>Divident_all!#REF!</f>
        <v>#REF!</v>
      </c>
      <c r="H62" s="229">
        <v>10</v>
      </c>
      <c r="I62" s="230" t="e">
        <f t="shared" si="7"/>
        <v>#REF!</v>
      </c>
      <c r="J62" s="231" t="e">
        <f t="shared" si="11"/>
        <v>#REF!</v>
      </c>
      <c r="K62" s="235" t="s">
        <v>165</v>
      </c>
      <c r="L62" s="232" t="s">
        <v>167</v>
      </c>
      <c r="M62" s="233">
        <v>808</v>
      </c>
      <c r="N62" s="234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</row>
    <row r="63" spans="1:31">
      <c r="A63" s="166"/>
      <c r="B63" s="94" t="s">
        <v>107</v>
      </c>
      <c r="C63" s="94">
        <v>48.5</v>
      </c>
      <c r="D63" s="95">
        <f ca="1">IFERROR(__xludf.DUMMYFUNCTION("GOOGLEFINANCE(""NWN"")"),47.05)</f>
        <v>47.05</v>
      </c>
      <c r="E63" s="227">
        <f t="shared" ca="1" si="10"/>
        <v>0.97010309278350515</v>
      </c>
      <c r="F63" s="228" t="e">
        <f t="shared" ca="1" si="6"/>
        <v>#REF!</v>
      </c>
      <c r="G63" s="255" t="e">
        <f>Divident_all!#REF!</f>
        <v>#REF!</v>
      </c>
      <c r="H63" s="229">
        <v>10</v>
      </c>
      <c r="I63" s="230" t="e">
        <f t="shared" si="7"/>
        <v>#REF!</v>
      </c>
      <c r="J63" s="231" t="e">
        <f t="shared" si="11"/>
        <v>#REF!</v>
      </c>
      <c r="K63" s="235" t="s">
        <v>165</v>
      </c>
      <c r="L63" s="232" t="s">
        <v>168</v>
      </c>
      <c r="M63" s="233">
        <v>1237</v>
      </c>
      <c r="N63" s="234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</row>
    <row r="64" spans="1:31">
      <c r="A64" s="236">
        <f ca="1">IFERROR(__xludf.DUMMYFUNCTION("sum(sum(F64)*GOOGLEFINANCE (""Currency:USDRON""))"),112.227796881791)</f>
        <v>112.22779688179099</v>
      </c>
      <c r="B64" s="237" t="s">
        <v>108</v>
      </c>
      <c r="C64" s="237">
        <v>175</v>
      </c>
      <c r="D64" s="238">
        <f ca="1">IFERROR(__xludf.DUMMYFUNCTION("GOOGLEFINANCE(""APD"")"),286.21)</f>
        <v>286.20999999999998</v>
      </c>
      <c r="E64" s="239">
        <f t="shared" ca="1" si="10"/>
        <v>1.6354857142857142</v>
      </c>
      <c r="F64" s="240" t="e">
        <f t="shared" ca="1" si="6"/>
        <v>#REF!</v>
      </c>
      <c r="G64" s="256" t="e">
        <f>Divident_all!#REF!</f>
        <v>#REF!</v>
      </c>
      <c r="H64" s="241">
        <v>10</v>
      </c>
      <c r="I64" s="238" t="e">
        <f t="shared" si="7"/>
        <v>#REF!</v>
      </c>
      <c r="J64" s="242" t="e">
        <f t="shared" si="11"/>
        <v>#REF!</v>
      </c>
      <c r="K64" s="243" t="s">
        <v>169</v>
      </c>
      <c r="L64" s="244" t="s">
        <v>170</v>
      </c>
      <c r="M64" s="245">
        <v>20000</v>
      </c>
      <c r="N64" s="234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27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/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15</v>
      </c>
      <c r="L2" s="264">
        <f ca="1">((L4*4)*100)/(500+K2)</f>
        <v>6.0508075349858581</v>
      </c>
      <c r="M2" s="12"/>
      <c r="N2" s="12"/>
      <c r="O2" s="12"/>
      <c r="P2" s="12"/>
    </row>
    <row r="3" spans="1:33" ht="15.75" customHeight="1">
      <c r="A3" s="265" t="s">
        <v>24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AVERAGE(C5:C23)</f>
        <v>#REF!</v>
      </c>
      <c r="D4" s="118" t="e">
        <f t="shared" si="0"/>
        <v>#REF!</v>
      </c>
      <c r="E4" s="267">
        <f t="shared" ca="1" si="0"/>
        <v>0.49333330449182944</v>
      </c>
      <c r="F4" s="116"/>
      <c r="G4" s="247">
        <f ca="1">SUM(G5:G23)</f>
        <v>114.59469081684864</v>
      </c>
      <c r="H4" s="116">
        <f>500+K2-SUM(H5:H23)</f>
        <v>0</v>
      </c>
      <c r="I4" s="118"/>
      <c r="J4" s="118" t="e">
        <f t="shared" ref="J4:L4" ca="1" si="1">SUM(J5:J23)</f>
        <v>#REF!</v>
      </c>
      <c r="K4" s="123">
        <f t="shared" ca="1" si="1"/>
        <v>21.39194143052179</v>
      </c>
      <c r="L4" s="123">
        <f t="shared" ca="1" si="1"/>
        <v>7.790414701294293</v>
      </c>
      <c r="M4" s="117">
        <f t="shared" ref="M4:M23" ca="1" si="2">L4/K4</f>
        <v>0.36417520712631596</v>
      </c>
      <c r="N4" s="125"/>
      <c r="O4" s="125"/>
      <c r="P4" s="126"/>
    </row>
    <row r="5" spans="1:33" ht="12.75">
      <c r="A5" s="268"/>
      <c r="B5" s="269" t="e">
        <f>Divident_all!#REF!</f>
        <v>#REF!</v>
      </c>
      <c r="C5" s="269" t="e">
        <f>Divident_all!#REF!</f>
        <v>#REF!</v>
      </c>
      <c r="D5" s="270" t="e">
        <f>Divident_all!#REF!</f>
        <v>#REF!</v>
      </c>
      <c r="E5" s="271">
        <f ca="1">IFERROR(__xludf.DUMMYFUNCTION("(((H5/GOOGLEFINANCE (""Currency:USDRON""))/D5)+F5)"),2.28569521996574)</f>
        <v>2.2856952199657399</v>
      </c>
      <c r="F5" s="269" t="e">
        <f>Divident_all!#REF!</f>
        <v>#REF!</v>
      </c>
      <c r="G5" s="270">
        <f ca="1">IFERROR(__xludf.DUMMYFUNCTION("H5/GOOGLEFINANCE (""Currency:USDRON"")"),8.9005585100465)</f>
        <v>8.9005585100464994</v>
      </c>
      <c r="H5" s="272">
        <v>40</v>
      </c>
      <c r="I5" s="273" t="e">
        <f t="shared" ref="I5:I12" si="3">D5/C5</f>
        <v>#REF!</v>
      </c>
      <c r="J5" s="270" t="e">
        <f t="shared" ref="J5:J23" ca="1" si="4">((E5*C5)/100)</f>
        <v>#REF!</v>
      </c>
      <c r="K5" s="274">
        <f ca="1">IFERROR(__xludf.DUMMYFUNCTION("(F5*C5)/100*GOOGLEFINANCE (""Currency:USDRON"")"),2.55846955831999)</f>
        <v>2.5584695583199899</v>
      </c>
      <c r="L5" s="275">
        <f ca="1">IFERROR(__xludf.DUMMYFUNCTION("(((H5/GOOGLEFINANCE (""Currency:USDRON""))/D5)*C5)/100*GOOGLEFINANCE (""Currency:USDRON"")"),1.55038759689922)</f>
        <v>1.55038759689922</v>
      </c>
      <c r="M5" s="276">
        <f t="shared" ca="1" si="2"/>
        <v>0.60598242877561403</v>
      </c>
      <c r="N5" s="277" t="e">
        <f>Divident_all!#REF!</f>
        <v>#REF!</v>
      </c>
      <c r="O5" s="277" t="e">
        <f>Divident_all!#REF!</f>
        <v>#REF!</v>
      </c>
      <c r="P5" s="278" t="e">
        <f>Divident_all!#REF!</f>
        <v>#REF!</v>
      </c>
      <c r="R5" s="279"/>
    </row>
    <row r="6" spans="1:33" ht="12.75">
      <c r="A6" s="268"/>
      <c r="B6" s="280" t="str">
        <f>Divident_all!B3</f>
        <v>AMD</v>
      </c>
      <c r="C6" s="280">
        <f>Divident_all!D3</f>
        <v>62.5</v>
      </c>
      <c r="D6" s="281">
        <f ca="1">Divident_all!E3</f>
        <v>20.89</v>
      </c>
      <c r="E6" s="282">
        <f ca="1">IFERROR(__xludf.DUMMYFUNCTION("(((H6/GOOGLEFINANCE (""Currency:USDRON""))/D6)+F6)"),1.43424490378393)</f>
        <v>1.43424490378393</v>
      </c>
      <c r="F6" s="280">
        <f>Divident_all!I3</f>
        <v>1.0081769999999999</v>
      </c>
      <c r="G6" s="281">
        <f ca="1">IFERROR(__xludf.DUMMYFUNCTION("H6/GOOGLEFINANCE (""Currency:USDRON"")"),8.9005585100465)</f>
        <v>8.9005585100464994</v>
      </c>
      <c r="H6" s="283">
        <v>40</v>
      </c>
      <c r="I6" s="284">
        <f t="shared" ca="1" si="3"/>
        <v>0.33423999999999998</v>
      </c>
      <c r="J6" s="281">
        <f t="shared" ca="1" si="4"/>
        <v>0.89640306486495613</v>
      </c>
      <c r="K6" s="285">
        <f ca="1">IFERROR(__xludf.DUMMYFUNCTION("(F6*C6)/100*GOOGLEFINANCE (""Currency:USDRON"")"),2.83178015981249)</f>
        <v>2.8317801598124901</v>
      </c>
      <c r="L6" s="286">
        <f ca="1">IFERROR(__xludf.DUMMYFUNCTION("(((H6/GOOGLEFINANCE (""Currency:USDRON""))/D6)*C6)/100*GOOGLEFINANCE (""Currency:USDRON"")"),1.19674485399712)</f>
        <v>1.1967448539971199</v>
      </c>
      <c r="M6" s="287">
        <f t="shared" ca="1" si="2"/>
        <v>0.42261220379351905</v>
      </c>
      <c r="N6" s="288" t="str">
        <f>Divident_all!M3</f>
        <v>Consumer Cyclical</v>
      </c>
      <c r="O6" s="288" t="str">
        <f>Divident_all!N3</f>
        <v>Auto &amp; Truck Dealerships</v>
      </c>
      <c r="P6" s="289">
        <f>Divident_all!O3</f>
        <v>12584</v>
      </c>
      <c r="Q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</row>
    <row r="7" spans="1:33" ht="12.75">
      <c r="A7" s="268"/>
      <c r="B7" s="290" t="e">
        <f>Divident_all!#REF!</f>
        <v>#REF!</v>
      </c>
      <c r="C7" s="290" t="e">
        <f>Divident_all!#REF!</f>
        <v>#REF!</v>
      </c>
      <c r="D7" s="291" t="e">
        <f>Divident_all!#REF!</f>
        <v>#REF!</v>
      </c>
      <c r="E7" s="292">
        <f ca="1">IFERROR(__xludf.DUMMYFUNCTION("(((H7/GOOGLEFINANCE (""Currency:USDRON""))/D7)+F7)"),0.719058114729973)</f>
        <v>0.71905811472997305</v>
      </c>
      <c r="F7" s="290" t="e">
        <f>Divident_all!#REF!</f>
        <v>#REF!</v>
      </c>
      <c r="G7" s="291">
        <f ca="1">IFERROR(__xludf.DUMMYFUNCTION("H7/GOOGLEFINANCE (""Currency:USDRON"")"),7.78798869629069)</f>
        <v>7.7879886962906903</v>
      </c>
      <c r="H7" s="293">
        <v>35</v>
      </c>
      <c r="I7" s="294" t="e">
        <f t="shared" si="3"/>
        <v>#REF!</v>
      </c>
      <c r="J7" s="291" t="e">
        <f t="shared" ca="1" si="4"/>
        <v>#REF!</v>
      </c>
      <c r="K7" s="295">
        <f ca="1">IFERROR(__xludf.DUMMYFUNCTION("(F7*C7)/100*GOOGLEFINANCE (""Currency:USDRON"")"),2.30700390057799)</f>
        <v>2.3070039005779899</v>
      </c>
      <c r="L7" s="296">
        <f ca="1">IFERROR(__xludf.DUMMYFUNCTION("(((H7/GOOGLEFINANCE (""Currency:USDRON""))/D7)*C7)/100*GOOGLEFINANCE (""Currency:USDRON"")"),0.730624028425493)</f>
        <v>0.73062402842549301</v>
      </c>
      <c r="M7" s="297">
        <f t="shared" ca="1" si="2"/>
        <v>0.31669821981767982</v>
      </c>
      <c r="N7" s="298" t="e">
        <f>Divident_all!#REF!</f>
        <v>#REF!</v>
      </c>
      <c r="O7" s="298" t="e">
        <f>Divident_all!#REF!</f>
        <v>#REF!</v>
      </c>
      <c r="P7" s="299" t="e">
        <f>Divident_all!#REF!</f>
        <v>#REF!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268"/>
      <c r="B8" s="290" t="e">
        <f>Divident_all!#REF!</f>
        <v>#REF!</v>
      </c>
      <c r="C8" s="290" t="e">
        <f>Divident_all!#REF!</f>
        <v>#REF!</v>
      </c>
      <c r="D8" s="291" t="e">
        <f>Divident_all!#REF!</f>
        <v>#REF!</v>
      </c>
      <c r="E8" s="292">
        <f ca="1">IFERROR(__xludf.DUMMYFUNCTION("(((H8/GOOGLEFINANCE (""Currency:USDRON""))/D8)+F8)"),0.726154551755916)</f>
        <v>0.72615455175591603</v>
      </c>
      <c r="F8" s="290" t="e">
        <f>Divident_all!#REF!</f>
        <v>#REF!</v>
      </c>
      <c r="G8" s="291">
        <f ca="1">IFERROR(__xludf.DUMMYFUNCTION("H8/GOOGLEFINANCE (""Currency:USDRON"")"),7.78798869629069)</f>
        <v>7.7879886962906903</v>
      </c>
      <c r="H8" s="293">
        <v>35</v>
      </c>
      <c r="I8" s="294" t="e">
        <f t="shared" si="3"/>
        <v>#REF!</v>
      </c>
      <c r="J8" s="291" t="e">
        <f t="shared" ca="1" si="4"/>
        <v>#REF!</v>
      </c>
      <c r="K8" s="295">
        <f ca="1">IFERROR(__xludf.DUMMYFUNCTION("(F8*C8)/100*GOOGLEFINANCE (""Currency:USDRON"")"),1.60178016513319)</f>
        <v>1.60178016513319</v>
      </c>
      <c r="L8" s="296">
        <f ca="1">IFERROR(__xludf.DUMMYFUNCTION("(((H8/GOOGLEFINANCE (""Currency:USDRON""))/D8)*C8)/100*GOOGLEFINANCE (""Currency:USDRON"")"),0.702188121625461)</f>
        <v>0.70218812162546096</v>
      </c>
      <c r="M8" s="297">
        <f t="shared" ca="1" si="2"/>
        <v>0.43837983320705759</v>
      </c>
      <c r="N8" s="298" t="e">
        <f>Divident_all!#REF!</f>
        <v>#REF!</v>
      </c>
      <c r="O8" s="298" t="e">
        <f>Divident_all!#REF!</f>
        <v>#REF!</v>
      </c>
      <c r="P8" s="299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268"/>
      <c r="B9" s="300" t="e">
        <f>Divident_all!#REF!</f>
        <v>#REF!</v>
      </c>
      <c r="C9" s="300" t="e">
        <f>Divident_all!#REF!+Divident_special!C20</f>
        <v>#REF!</v>
      </c>
      <c r="D9" s="301" t="e">
        <f>Divident_all!#REF!</f>
        <v>#REF!</v>
      </c>
      <c r="E9" s="302">
        <f ca="1">IFERROR(__xludf.DUMMYFUNCTION("(((H9/GOOGLEFINANCE (""Currency:USDRON""))/D9)+F9)"),0.585276263847229)</f>
        <v>0.58527626384722897</v>
      </c>
      <c r="F9" s="300" t="e">
        <f>Divident_all!#REF!</f>
        <v>#REF!</v>
      </c>
      <c r="G9" s="301">
        <f ca="1">IFERROR(__xludf.DUMMYFUNCTION("H9/GOOGLEFINANCE (""Currency:USDRON"")"),7.78798869629069)</f>
        <v>7.7879886962906903</v>
      </c>
      <c r="H9" s="303">
        <v>35</v>
      </c>
      <c r="I9" s="304" t="e">
        <f t="shared" si="3"/>
        <v>#REF!</v>
      </c>
      <c r="J9" s="301" t="e">
        <f t="shared" ca="1" si="4"/>
        <v>#REF!</v>
      </c>
      <c r="K9" s="305">
        <f ca="1">IFERROR(__xludf.DUMMYFUNCTION("(F9*C9)/100*GOOGLEFINANCE (""Currency:USDRON"")"),1.78171219054399)</f>
        <v>1.7817121905439901</v>
      </c>
      <c r="L9" s="306">
        <f ca="1">IFERROR(__xludf.DUMMYFUNCTION("(((H9/GOOGLEFINANCE (""Currency:USDRON""))/D9)*C9)/100*GOOGLEFINANCE (""Currency:USDRON"")"),0.559245960502693)</f>
        <v>0.55924596050269304</v>
      </c>
      <c r="M9" s="307">
        <f t="shared" ca="1" si="2"/>
        <v>0.31388120004496617</v>
      </c>
      <c r="N9" s="308" t="e">
        <f>Divident_all!#REF!</f>
        <v>#REF!</v>
      </c>
      <c r="O9" s="308" t="e">
        <f>Divident_all!#REF!</f>
        <v>#REF!</v>
      </c>
      <c r="P9" s="309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268"/>
      <c r="B10" s="310" t="e">
        <f>Divident_all!#REF!</f>
        <v>#REF!</v>
      </c>
      <c r="C10" s="310" t="e">
        <f>Divident_all!#REF!</f>
        <v>#REF!</v>
      </c>
      <c r="D10" s="311" t="e">
        <f>Divident_all!#REF!</f>
        <v>#REF!</v>
      </c>
      <c r="E10" s="312">
        <f ca="1">IFERROR(__xludf.DUMMYFUNCTION("(((H10/GOOGLEFINANCE (""Currency:USDRON""))/D10)+F10)"),0.246406480425203)</f>
        <v>0.24640648042520299</v>
      </c>
      <c r="F10" s="310" t="e">
        <f>Divident_all!#REF!</f>
        <v>#REF!</v>
      </c>
      <c r="G10" s="311">
        <f ca="1">IFERROR(__xludf.DUMMYFUNCTION("H10/GOOGLEFINANCE (""Currency:usdRON"")"),6.67541888253487)</f>
        <v>6.6754188825348697</v>
      </c>
      <c r="H10" s="313">
        <v>30</v>
      </c>
      <c r="I10" s="314" t="e">
        <f t="shared" si="3"/>
        <v>#REF!</v>
      </c>
      <c r="J10" s="311" t="e">
        <f t="shared" ca="1" si="4"/>
        <v>#REF!</v>
      </c>
      <c r="K10" s="315">
        <f ca="1">IFERROR(__xludf.DUMMYFUNCTION("(F10*C10)/100*GOOGLEFINANCE (""Currency:usdRON"")"),1.491230284596)</f>
        <v>1.4912302845959999</v>
      </c>
      <c r="L10" s="316">
        <f ca="1">IFERROR(__xludf.DUMMYFUNCTION("(((H10/GOOGLEFINANCE (""Currency:usdRON""))/D10)*C10)/100*GOOGLEFINANCE (""Currency:usdRON"")"),0.502045370026032)</f>
        <v>0.502045370026032</v>
      </c>
      <c r="M10" s="276">
        <f t="shared" ca="1" si="2"/>
        <v>0.3366652187874824</v>
      </c>
      <c r="N10" s="317" t="e">
        <f>Divident_all!#REF!</f>
        <v>#REF!</v>
      </c>
      <c r="O10" s="317" t="e">
        <f>Divident_all!#REF!</f>
        <v>#REF!</v>
      </c>
      <c r="P10" s="318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268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(""Currency:USDRON""))/D11)+F11)"),0.436969674189476)</f>
        <v>0.43696967418947602</v>
      </c>
      <c r="F11" s="269" t="e">
        <f>Divident_all!#REF!</f>
        <v>#REF!</v>
      </c>
      <c r="G11" s="270">
        <f ca="1">IFERROR(__xludf.DUMMYFUNCTION("H11/GOOGLEFINANCE (""Currency:USDRON"")"),6.67541888253487)</f>
        <v>6.6754188825348697</v>
      </c>
      <c r="H11" s="272">
        <v>30</v>
      </c>
      <c r="I11" s="273" t="e">
        <f t="shared" si="3"/>
        <v>#REF!</v>
      </c>
      <c r="J11" s="270" t="e">
        <f t="shared" ca="1" si="4"/>
        <v>#REF!</v>
      </c>
      <c r="K11" s="319">
        <f ca="1">IFERROR(__xludf.DUMMYFUNCTION("(F11*C11)/100*GOOGLEFINANCE (""Currency:USDRON"")"),0.989146736135999)</f>
        <v>0.98914673613599902</v>
      </c>
      <c r="L11" s="275">
        <f ca="1">IFERROR(__xludf.DUMMYFUNCTION("(((H11/GOOGLEFINANCE (""Currency:USDRON""))/D11)*C11)/100*GOOGLEFINANCE (""Currency:USDRON"")"),0.424778761061946)</f>
        <v>0.42477876106194601</v>
      </c>
      <c r="M11" s="276">
        <f t="shared" ca="1" si="2"/>
        <v>0.42943958216078332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268"/>
      <c r="B12" s="320" t="e">
        <f>Divident_all!#REF!</f>
        <v>#REF!</v>
      </c>
      <c r="C12" s="320" t="e">
        <f>Divident_all!#REF!</f>
        <v>#REF!</v>
      </c>
      <c r="D12" s="321" t="e">
        <f>Divident_all!#REF!</f>
        <v>#REF!</v>
      </c>
      <c r="E12" s="322">
        <f ca="1">IFERROR(__xludf.DUMMYFUNCTION("(((H12/GOOGLEFINANCE (""Currency:USDRON""))/D12)+F12)"),0.249790125075742)</f>
        <v>0.249790125075742</v>
      </c>
      <c r="F12" s="320" t="e">
        <f>Divident_all!#REF!</f>
        <v>#REF!</v>
      </c>
      <c r="G12" s="321">
        <f ca="1">IFERROR(__xludf.DUMMYFUNCTION("H12/GOOGLEFINANCE (""Currency:USDRON"")"),6.67541888253487)</f>
        <v>6.6754188825348697</v>
      </c>
      <c r="H12" s="293">
        <v>30</v>
      </c>
      <c r="I12" s="323" t="e">
        <f t="shared" si="3"/>
        <v>#REF!</v>
      </c>
      <c r="J12" s="321" t="e">
        <f t="shared" ca="1" si="4"/>
        <v>#REF!</v>
      </c>
      <c r="K12" s="324">
        <f ca="1">IFERROR(__xludf.DUMMYFUNCTION("(E12*C12)/100*GOOGLEFINANCE (""Currency:usdRON"")"),1.42567888740067)</f>
        <v>1.4256788874006701</v>
      </c>
      <c r="L12" s="325">
        <f ca="1">IFERROR(__xludf.DUMMYFUNCTION("(((H12/GOOGLEFINANCE (""Currency:usdRON""))/D12)*C12)/100*GOOGLEFINANCE (""Currency:usdRON"")"),0.382991556091676)</f>
        <v>0.38299155609167601</v>
      </c>
      <c r="M12" s="297">
        <f t="shared" ca="1" si="2"/>
        <v>0.2686380218409174</v>
      </c>
      <c r="N12" s="326" t="e">
        <f>Divident_all!#REF!</f>
        <v>#REF!</v>
      </c>
      <c r="O12" s="326" t="e">
        <f>Divident_all!#REF!</f>
        <v>#REF!</v>
      </c>
      <c r="P12" s="327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268"/>
      <c r="B13" s="269" t="e">
        <f>Divident_all!#REF!</f>
        <v>#REF!</v>
      </c>
      <c r="C13" s="269" t="e">
        <f>Divident_all!#REF!</f>
        <v>#REF!</v>
      </c>
      <c r="D13" s="270" t="e">
        <f>Divident_all!#REF!</f>
        <v>#REF!</v>
      </c>
      <c r="E13" s="271">
        <f ca="1">IFERROR(__xludf.DUMMYFUNCTION("(((H13/GOOGLEFINANCE (""Currency:USDRON""))/D13)+F13)"),0.877395274683805)</f>
        <v>0.87739527468380496</v>
      </c>
      <c r="F13" s="269" t="e">
        <f>Divident_all!#REF!</f>
        <v>#REF!</v>
      </c>
      <c r="G13" s="270">
        <f ca="1">IFERROR(__xludf.DUMMYFUNCTION("H13/GOOGLEFINANCE (""Currency:USDRON"")"),6.67541888253487)</f>
        <v>6.6754188825348697</v>
      </c>
      <c r="H13" s="272">
        <v>30</v>
      </c>
      <c r="I13" s="273" t="e">
        <f>D13/(C13*3)</f>
        <v>#REF!</v>
      </c>
      <c r="J13" s="270" t="e">
        <f t="shared" ca="1" si="4"/>
        <v>#REF!</v>
      </c>
      <c r="K13" s="319">
        <f ca="1">IFERROR(__xludf.DUMMYFUNCTION("(F13*C13)/100*GOOGLEFINANCE (""Currency:USDRON"")"),0.879606554033999)</f>
        <v>0.87960655403399901</v>
      </c>
      <c r="L13" s="275">
        <f ca="1">IFERROR(__xludf.DUMMYFUNCTION("(((H13/GOOGLEFINANCE (""Currency:USDRON""))/D13)*C13)/100*GOOGLEFINANCE (""Currency:USDRON"")"),0.125884482474905)</f>
        <v>0.125884482474905</v>
      </c>
      <c r="M13" s="276">
        <f t="shared" ca="1" si="2"/>
        <v>0.14311453444449806</v>
      </c>
      <c r="N13" s="277" t="e">
        <f>Divident_all!#REF!</f>
        <v>#REF!</v>
      </c>
      <c r="O13" s="277" t="e">
        <f>Divident_all!#REF!</f>
        <v>#REF!</v>
      </c>
      <c r="P13" s="27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268"/>
      <c r="B14" s="328" t="e">
        <f>Divident_all!#REF!</f>
        <v>#REF!</v>
      </c>
      <c r="C14" s="328" t="e">
        <f>Divident_all!#REF!</f>
        <v>#REF!</v>
      </c>
      <c r="D14" s="329" t="e">
        <f>Divident_all!#REF!</f>
        <v>#REF!</v>
      </c>
      <c r="E14" s="330">
        <f ca="1">IFERROR(__xludf.DUMMYFUNCTION("(((H14/GOOGLEFINANCE (""Currency:USDRON""))/D14)+F14)"),0.314405306981363)</f>
        <v>0.31440530698136299</v>
      </c>
      <c r="F14" s="328" t="e">
        <f>Divident_all!#REF!</f>
        <v>#REF!</v>
      </c>
      <c r="G14" s="329">
        <f ca="1">IFERROR(__xludf.DUMMYFUNCTION("H14/GOOGLEFINANCE (""Currency:USDRON"")"),5.56284906877906)</f>
        <v>5.5628490687790597</v>
      </c>
      <c r="H14" s="331">
        <v>25</v>
      </c>
      <c r="I14" s="332" t="e">
        <f t="shared" ref="I14:I23" si="5">D14/C14</f>
        <v>#REF!</v>
      </c>
      <c r="J14" s="329" t="e">
        <f t="shared" ca="1" si="4"/>
        <v>#REF!</v>
      </c>
      <c r="K14" s="333">
        <f ca="1">IFERROR(__xludf.DUMMYFUNCTION("(F14*C14)/100*GOOGLEFINANCE (""Currency:USDRON"")"),1.4545539255078)</f>
        <v>1.4545539255077999</v>
      </c>
      <c r="L14" s="334">
        <f ca="1">IFERROR(__xludf.DUMMYFUNCTION("(((H14/GOOGLEFINANCE (""Currency:USDRON""))/D14)*C14)/100*GOOGLEFINANCE (""Currency:USDRON"")"),0.269268120420234)</f>
        <v>0.26926812042023401</v>
      </c>
      <c r="M14" s="335">
        <f t="shared" ca="1" si="2"/>
        <v>0.18512075468513806</v>
      </c>
      <c r="N14" s="336" t="e">
        <f>Divident_all!#REF!</f>
        <v>#REF!</v>
      </c>
      <c r="O14" s="336" t="e">
        <f>Divident_all!#REF!</f>
        <v>#REF!</v>
      </c>
      <c r="P14" s="337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268"/>
      <c r="B15" s="310" t="e">
        <f>Divident_all!#REF!</f>
        <v>#REF!</v>
      </c>
      <c r="C15" s="310" t="e">
        <f>Divident_all!#REF!</f>
        <v>#REF!</v>
      </c>
      <c r="D15" s="311" t="e">
        <f>Divident_all!#REF!</f>
        <v>#REF!</v>
      </c>
      <c r="E15" s="312">
        <f ca="1">IFERROR(__xludf.DUMMYFUNCTION("(((H15/GOOGLEFINANCE (""Currency:USDRON""))/D15)+F15)"),0.240949567062146)</f>
        <v>0.24094956706214599</v>
      </c>
      <c r="F15" s="310" t="e">
        <f>Divident_all!#REF!</f>
        <v>#REF!</v>
      </c>
      <c r="G15" s="311">
        <f ca="1">IFERROR(__xludf.DUMMYFUNCTION("H15/GOOGLEFINANCE (""Currency:USDRON"")"),5.56284906877906)</f>
        <v>5.5628490687790597</v>
      </c>
      <c r="H15" s="313">
        <v>25</v>
      </c>
      <c r="I15" s="314" t="e">
        <f t="shared" si="5"/>
        <v>#REF!</v>
      </c>
      <c r="J15" s="311" t="e">
        <f t="shared" ca="1" si="4"/>
        <v>#REF!</v>
      </c>
      <c r="K15" s="315">
        <f ca="1">IFERROR(__xludf.DUMMYFUNCTION("(F15*C15)/100*GOOGLEFINANCE (""Currency:USDRON"")"),0.889309387839599)</f>
        <v>0.88930938783959901</v>
      </c>
      <c r="L15" s="316">
        <f ca="1">IFERROR(__xludf.DUMMYFUNCTION("(((H15/GOOGLEFINANCE (""Currency:USDRON""))/D15)*C15)/100*GOOGLEFINANCE (""Currency:USDRON"")"),0.280170177441112)</f>
        <v>0.280170177441112</v>
      </c>
      <c r="M15" s="276">
        <f t="shared" ca="1" si="2"/>
        <v>0.31504241524058341</v>
      </c>
      <c r="N15" s="317" t="e">
        <f>Divident_all!#REF!</f>
        <v>#REF!</v>
      </c>
      <c r="O15" s="317" t="e">
        <f>Divident_all!#REF!</f>
        <v>#REF!</v>
      </c>
      <c r="P15" s="318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268"/>
      <c r="B16" s="290" t="e">
        <f>Divident_all!#REF!</f>
        <v>#REF!</v>
      </c>
      <c r="C16" s="290" t="e">
        <f>Divident_all!#REF!</f>
        <v>#REF!</v>
      </c>
      <c r="D16" s="291" t="e">
        <f>Divident_all!#REF!</f>
        <v>#REF!</v>
      </c>
      <c r="E16" s="292">
        <f ca="1">IFERROR(__xludf.DUMMYFUNCTION("(((H16/GOOGLEFINANCE (""Currency:USDRON""))/D16)+F16)"),0.114220265723287)</f>
        <v>0.114220265723287</v>
      </c>
      <c r="F16" s="290" t="e">
        <f>Divident_all!#REF!</f>
        <v>#REF!</v>
      </c>
      <c r="G16" s="291">
        <f ca="1">IFERROR(__xludf.DUMMYFUNCTION("H16/GOOGLEFINANCE (""Currency:usdRON"")"),5.56284906877906)</f>
        <v>5.5628490687790597</v>
      </c>
      <c r="H16" s="293">
        <v>25</v>
      </c>
      <c r="I16" s="294" t="e">
        <f t="shared" si="5"/>
        <v>#REF!</v>
      </c>
      <c r="J16" s="291" t="e">
        <f t="shared" ca="1" si="4"/>
        <v>#REF!</v>
      </c>
      <c r="K16" s="295">
        <f ca="1">IFERROR(__xludf.DUMMYFUNCTION("(F16*C16)/100*GOOGLEFINANCE (""Currency:usdRON"")"),0.3909033703978)</f>
        <v>0.39090337039779999</v>
      </c>
      <c r="L16" s="296">
        <f ca="1">IFERROR(__xludf.DUMMYFUNCTION("(((H16/GOOGLEFINANCE (""Currency:usdRON""))/D16)*C16)/100*GOOGLEFINANCE (""Currency:usdRON"")"),0.21481103910289)</f>
        <v>0.21481103910289001</v>
      </c>
      <c r="M16" s="297">
        <f t="shared" ca="1" si="2"/>
        <v>0.54952465332874745</v>
      </c>
      <c r="N16" s="298" t="e">
        <f>Divident_all!#REF!</f>
        <v>#REF!</v>
      </c>
      <c r="O16" s="298" t="e">
        <f>Divident_all!#REF!</f>
        <v>#REF!</v>
      </c>
      <c r="P16" s="299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268"/>
      <c r="B17" s="290" t="e">
        <f>Divident_all!#REF!</f>
        <v>#REF!</v>
      </c>
      <c r="C17" s="290" t="e">
        <f>Divident_all!#REF!</f>
        <v>#REF!</v>
      </c>
      <c r="D17" s="291" t="e">
        <f>Divident_all!#REF!</f>
        <v>#REF!</v>
      </c>
      <c r="E17" s="292">
        <f ca="1">IFERROR(__xludf.DUMMYFUNCTION("(((H17/GOOGLEFINANCE (""Currency:USDRON""))/D17)+F17)"),0.435119168418383)</f>
        <v>0.435119168418383</v>
      </c>
      <c r="F17" s="290" t="e">
        <f>Divident_all!#REF!</f>
        <v>#REF!</v>
      </c>
      <c r="G17" s="291">
        <f ca="1">IFERROR(__xludf.DUMMYFUNCTION("H17/GOOGLEFINANCE (""Currency:USDRON"")"),5.56284906877906)</f>
        <v>5.5628490687790597</v>
      </c>
      <c r="H17" s="293">
        <v>25</v>
      </c>
      <c r="I17" s="294" t="e">
        <f t="shared" si="5"/>
        <v>#REF!</v>
      </c>
      <c r="J17" s="291" t="e">
        <f t="shared" ca="1" si="4"/>
        <v>#REF!</v>
      </c>
      <c r="K17" s="295">
        <f ca="1">IFERROR(__xludf.DUMMYFUNCTION("(F17*C17)/100*GOOGLEFINANCE (""Currency:USDRON"")"),0.717120840539999)</f>
        <v>0.71712084053999903</v>
      </c>
      <c r="L17" s="296">
        <f ca="1">IFERROR(__xludf.DUMMYFUNCTION("(((H17/GOOGLEFINANCE (""Currency:USDRON""))/D17)*C17)/100*GOOGLEFINANCE (""Currency:USDRON"")"),0.182394924662965)</f>
        <v>0.182394924662965</v>
      </c>
      <c r="M17" s="297">
        <f t="shared" ca="1" si="2"/>
        <v>0.25434336077253011</v>
      </c>
      <c r="N17" s="298" t="e">
        <f>Divident_all!#REF!</f>
        <v>#REF!</v>
      </c>
      <c r="O17" s="298" t="e">
        <f>Divident_all!#REF!</f>
        <v>#REF!</v>
      </c>
      <c r="P17" s="299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268"/>
      <c r="B18" s="320" t="e">
        <f>Divident_all!#REF!</f>
        <v>#REF!</v>
      </c>
      <c r="C18" s="320" t="e">
        <f>Divident_all!#REF!</f>
        <v>#REF!</v>
      </c>
      <c r="D18" s="321" t="e">
        <f>Divident_all!#REF!</f>
        <v>#REF!</v>
      </c>
      <c r="E18" s="322">
        <f ca="1">IFERROR(__xludf.DUMMYFUNCTION("(((H18/GOOGLEFINANCE (""Currency:USDRON""))/D18)+F18)"),0.108834681450728)</f>
        <v>0.108834681450728</v>
      </c>
      <c r="F18" s="320" t="e">
        <f>Divident_all!#REF!</f>
        <v>#REF!</v>
      </c>
      <c r="G18" s="321">
        <f ca="1">IFERROR(__xludf.DUMMYFUNCTION("H18/GOOGLEFINANCE (""Currency:USDRON"")"),4.45027925502325)</f>
        <v>4.4502792550232497</v>
      </c>
      <c r="H18" s="293">
        <v>20</v>
      </c>
      <c r="I18" s="323" t="e">
        <f t="shared" si="5"/>
        <v>#REF!</v>
      </c>
      <c r="J18" s="321" t="e">
        <f t="shared" ca="1" si="4"/>
        <v>#REF!</v>
      </c>
      <c r="K18" s="324">
        <f ca="1">IFERROR(__xludf.DUMMYFUNCTION("(F18*C18)/100*GOOGLEFINANCE (""Currency:USDRON"")"),0.437147263917)</f>
        <v>0.43714726391699998</v>
      </c>
      <c r="L18" s="325">
        <f ca="1">IFERROR(__xludf.DUMMYFUNCTION("(((H18/GOOGLEFINANCE (""Currency:USDRON""))/D18)*C18)/100*GOOGLEFINANCE (""Currency:USDRON"")"),0.125333769276878)</f>
        <v>0.125333769276878</v>
      </c>
      <c r="M18" s="297">
        <f t="shared" ca="1" si="2"/>
        <v>0.28670834664236811</v>
      </c>
      <c r="N18" s="326" t="e">
        <f>Divident_all!#REF!</f>
        <v>#REF!</v>
      </c>
      <c r="O18" s="326" t="e">
        <f>Divident_all!#REF!</f>
        <v>#REF!</v>
      </c>
      <c r="P18" s="327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268"/>
      <c r="B19" s="338" t="e">
        <f>Divident_all!#REF!</f>
        <v>#REF!</v>
      </c>
      <c r="C19" s="338" t="e">
        <f>Divident_all!#REF!</f>
        <v>#REF!</v>
      </c>
      <c r="D19" s="339" t="e">
        <f>Divident_all!#REF!</f>
        <v>#REF!</v>
      </c>
      <c r="E19" s="340">
        <f ca="1">IFERROR(__xludf.DUMMYFUNCTION("(((H19/GOOGLEFINANCE (""Currency:USDRON""))/D19)+F19)"),0.105844804281649)</f>
        <v>0.105844804281649</v>
      </c>
      <c r="F19" s="338" t="e">
        <f>Divident_all!#REF!</f>
        <v>#REF!</v>
      </c>
      <c r="G19" s="339">
        <f ca="1">IFERROR(__xludf.DUMMYFUNCTION("H19/GOOGLEFINANCE (""Currency:USDRON"")"),4.45027925502325)</f>
        <v>4.4502792550232497</v>
      </c>
      <c r="H19" s="341">
        <v>20</v>
      </c>
      <c r="I19" s="342" t="e">
        <f t="shared" si="5"/>
        <v>#REF!</v>
      </c>
      <c r="J19" s="339" t="e">
        <f t="shared" ca="1" si="4"/>
        <v>#REF!</v>
      </c>
      <c r="K19" s="333">
        <f ca="1">IFERROR(__xludf.DUMMYFUNCTION("(F19*C19)/100*GOOGLEFINANCE (""Currency:USDRON"")"),0.2162294644575)</f>
        <v>0.21622946445749999</v>
      </c>
      <c r="L19" s="343">
        <f ca="1">IFERROR(__xludf.DUMMYFUNCTION("(((H19/GOOGLEFINANCE (""Currency:USDRON""))/D19)*C19)/100*GOOGLEFINANCE (""Currency:USDRON"")"),0.14052838673412)</f>
        <v>0.14052838673411999</v>
      </c>
      <c r="M19" s="335">
        <f t="shared" ca="1" si="2"/>
        <v>0.64990396700418651</v>
      </c>
      <c r="N19" s="344" t="e">
        <f>Divident_all!#REF!</f>
        <v>#REF!</v>
      </c>
      <c r="O19" s="344" t="e">
        <f>Divident_all!#REF!</f>
        <v>#REF!</v>
      </c>
      <c r="P19" s="345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268"/>
      <c r="B20" s="346" t="e">
        <f>Divident_all!#REF!</f>
        <v>#REF!</v>
      </c>
      <c r="C20" s="346" t="e">
        <f>Divident_all!#REF!</f>
        <v>#REF!</v>
      </c>
      <c r="D20" s="347" t="e">
        <f>Divident_all!#REF!</f>
        <v>#REF!</v>
      </c>
      <c r="E20" s="348">
        <f ca="1">IFERROR(__xludf.DUMMYFUNCTION("(((H20/GOOGLEFINANCE (""Currency:USDRON""))/D20)+F20)"),0.103152555896682)</f>
        <v>0.103152555896682</v>
      </c>
      <c r="F20" s="346" t="e">
        <f>Divident_all!#REF!</f>
        <v>#REF!</v>
      </c>
      <c r="G20" s="347">
        <f ca="1">IFERROR(__xludf.DUMMYFUNCTION("H20/GOOGLEFINANCE (""Currency:USDRON"")"),4.45027925502325)</f>
        <v>4.4502792550232497</v>
      </c>
      <c r="H20" s="283">
        <v>20</v>
      </c>
      <c r="I20" s="349" t="e">
        <f t="shared" si="5"/>
        <v>#REF!</v>
      </c>
      <c r="J20" s="347" t="e">
        <f t="shared" ca="1" si="4"/>
        <v>#REF!</v>
      </c>
      <c r="K20" s="350">
        <f ca="1">IFERROR(__xludf.DUMMYFUNCTION("(F20*C20)/100*GOOGLEFINANCE (""Currency:USDRON"")"),0.5994408186832)</f>
        <v>0.59944081868319998</v>
      </c>
      <c r="L20" s="351">
        <f ca="1">IFERROR(__xludf.DUMMYFUNCTION("(((H20/GOOGLEFINANCE (""Currency:USDRON""))/D20)*C20)/100*GOOGLEFINANCE (""Currency:USDRON"")"),0.105197591528825)</f>
        <v>0.105197591528825</v>
      </c>
      <c r="M20" s="352">
        <f t="shared" ca="1" si="2"/>
        <v>0.17549287310783077</v>
      </c>
      <c r="N20" s="353" t="e">
        <f>Divident_all!#REF!</f>
        <v>#REF!</v>
      </c>
      <c r="O20" s="353" t="e">
        <f>Divident_all!#REF!</f>
        <v>#REF!</v>
      </c>
      <c r="P20" s="354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268"/>
      <c r="B21" s="355" t="e">
        <f>Divident_all!#REF!</f>
        <v>#REF!</v>
      </c>
      <c r="C21" s="355" t="e">
        <f>Divident_all!#REF!</f>
        <v>#REF!</v>
      </c>
      <c r="D21" s="356" t="e">
        <f>Divident_all!#REF!</f>
        <v>#REF!</v>
      </c>
      <c r="E21" s="357">
        <f ca="1">IFERROR(__xludf.DUMMYFUNCTION("(((H21/GOOGLEFINANCE (""Currency:USDRON""))/D21)+F21)"),0.136091278753522)</f>
        <v>0.136091278753522</v>
      </c>
      <c r="F21" s="355" t="e">
        <f>Divident_all!#REF!</f>
        <v>#REF!</v>
      </c>
      <c r="G21" s="356">
        <f ca="1">IFERROR(__xludf.DUMMYFUNCTION("H21/GOOGLEFINANCE (""Currency:USDRON"")"),4.45027925502325)</f>
        <v>4.4502792550232497</v>
      </c>
      <c r="H21" s="358">
        <v>20</v>
      </c>
      <c r="I21" s="359" t="e">
        <f t="shared" si="5"/>
        <v>#REF!</v>
      </c>
      <c r="J21" s="356" t="e">
        <f t="shared" ca="1" si="4"/>
        <v>#REF!</v>
      </c>
      <c r="K21" s="360">
        <f ca="1">IFERROR(__xludf.DUMMYFUNCTION("(F21*C21)/100*GOOGLEFINANCE (""Currency:USDRON"")"),0.3561304604)</f>
        <v>0.35613046040000002</v>
      </c>
      <c r="L21" s="361">
        <f ca="1">IFERROR(__xludf.DUMMYFUNCTION("(((H21/GOOGLEFINANCE (""Currency:USDRON""))/D21)*C21)/100*GOOGLEFINANCE (""Currency:USDRON"")"),0.133155792276964)</f>
        <v>0.133155792276964</v>
      </c>
      <c r="M21" s="362">
        <f t="shared" ca="1" si="2"/>
        <v>0.37389610573441417</v>
      </c>
      <c r="N21" s="363" t="e">
        <f>Divident_all!#REF!</f>
        <v>#REF!</v>
      </c>
      <c r="O21" s="363" t="e">
        <f>Divident_all!#REF!</f>
        <v>#REF!</v>
      </c>
      <c r="P21" s="364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268"/>
      <c r="B22" s="280" t="e">
        <f>Divident_all!#REF!</f>
        <v>#REF!</v>
      </c>
      <c r="C22" s="280" t="e">
        <f>Divident_all!#REF!</f>
        <v>#REF!</v>
      </c>
      <c r="D22" s="281" t="e">
        <f>Divident_all!#REF!</f>
        <v>#REF!</v>
      </c>
      <c r="E22" s="282">
        <f ca="1">IFERROR(__xludf.DUMMYFUNCTION("(((H22/GOOGLEFINANCE (""Currency:USDRON""))/D22)+F22)"),0.0495260639017837)</f>
        <v>4.9526063901783698E-2</v>
      </c>
      <c r="F22" s="280" t="e">
        <f>Divident_all!#REF!</f>
        <v>#REF!</v>
      </c>
      <c r="G22" s="281">
        <f ca="1">IFERROR(__xludf.DUMMYFUNCTION("H22/GOOGLEFINANCE (""Currency:USDRON"")"),3.33770944126743)</f>
        <v>3.33770944126743</v>
      </c>
      <c r="H22" s="283">
        <v>15</v>
      </c>
      <c r="I22" s="284" t="e">
        <f t="shared" si="5"/>
        <v>#REF!</v>
      </c>
      <c r="J22" s="281" t="e">
        <f t="shared" ca="1" si="4"/>
        <v>#REF!</v>
      </c>
      <c r="K22" s="285">
        <f ca="1">IFERROR(__xludf.DUMMYFUNCTION("(F22*C22)/100*GOOGLEFINANCE (""Currency:USDRON"")"),0.1251193168095)</f>
        <v>0.1251193168095</v>
      </c>
      <c r="L22" s="286">
        <f ca="1">IFERROR(__xludf.DUMMYFUNCTION("(((H22/GOOGLEFINANCE (""Currency:USDRON""))/D22)*C22)/100*GOOGLEFINANCE (""Currency:USDRON"")"),0.0863270127824559)</f>
        <v>8.63270127824559E-2</v>
      </c>
      <c r="M22" s="287">
        <f t="shared" ca="1" si="2"/>
        <v>0.68995751402553451</v>
      </c>
      <c r="N22" s="288" t="e">
        <f>Divident_all!#REF!</f>
        <v>#REF!</v>
      </c>
      <c r="O22" s="288" t="e">
        <f>Divident_all!#REF!</f>
        <v>#REF!</v>
      </c>
      <c r="P22" s="289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268"/>
      <c r="B23" s="355" t="e">
        <f>Divident_all!#REF!</f>
        <v>#REF!</v>
      </c>
      <c r="C23" s="355" t="e">
        <f>Divident_all!#REF!</f>
        <v>#REF!</v>
      </c>
      <c r="D23" s="356" t="e">
        <f>Divident_all!#REF!</f>
        <v>#REF!</v>
      </c>
      <c r="E23" s="357">
        <f ca="1">IFERROR(__xludf.DUMMYFUNCTION("(((H23/GOOGLEFINANCE (""Currency:USDRON""))/D23)+F23)"),0.204198484418204)</f>
        <v>0.20419848441820401</v>
      </c>
      <c r="F23" s="355" t="e">
        <f>Divident_all!#REF!</f>
        <v>#REF!</v>
      </c>
      <c r="G23" s="356">
        <f ca="1">IFERROR(__xludf.DUMMYFUNCTION("H23/GOOGLEFINANCE (""Currency:USDRON"")"),3.33770944126743)</f>
        <v>3.33770944126743</v>
      </c>
      <c r="H23" s="358">
        <v>15</v>
      </c>
      <c r="I23" s="359" t="e">
        <f t="shared" si="5"/>
        <v>#REF!</v>
      </c>
      <c r="J23" s="356" t="e">
        <f t="shared" ca="1" si="4"/>
        <v>#REF!</v>
      </c>
      <c r="K23" s="360">
        <f ca="1">IFERROR(__xludf.DUMMYFUNCTION("(F23*C23)/100*GOOGLEFINANCE (""Currency:USDRON"")"),0.33957814541508)</f>
        <v>0.33957814541508002</v>
      </c>
      <c r="L23" s="361">
        <f ca="1">IFERROR(__xludf.DUMMYFUNCTION("(((H23/GOOGLEFINANCE (""Currency:USDRON""))/D23)*C23)/100*GOOGLEFINANCE (""Currency:USDRON"")"),0.0783371559633027)</f>
        <v>7.8337155963302693E-2</v>
      </c>
      <c r="M23" s="362">
        <f t="shared" ca="1" si="2"/>
        <v>0.23068962776608617</v>
      </c>
      <c r="N23" s="363" t="e">
        <f>Divident_all!#REF!</f>
        <v>#REF!</v>
      </c>
      <c r="O23" s="363" t="e">
        <f>Divident_all!#REF!</f>
        <v>#REF!</v>
      </c>
      <c r="P23" s="364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6" spans="1:33" ht="12.75">
      <c r="A26" s="166"/>
      <c r="B26" s="365"/>
      <c r="C26" s="365"/>
      <c r="D26" s="366"/>
      <c r="E26" s="367"/>
      <c r="F26" s="365"/>
      <c r="G26" s="366"/>
      <c r="H26" s="365"/>
      <c r="I26" s="368"/>
      <c r="J26" s="366"/>
      <c r="K26" s="369"/>
      <c r="L26" s="369"/>
      <c r="M26" s="369"/>
      <c r="N26" s="370"/>
      <c r="O26" s="370"/>
      <c r="P26" s="371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166"/>
      <c r="B27" s="365"/>
      <c r="C27" s="365"/>
      <c r="D27" s="366"/>
      <c r="E27" s="367"/>
      <c r="F27" s="365"/>
      <c r="G27" s="366"/>
      <c r="H27" s="365"/>
      <c r="I27" s="368"/>
      <c r="J27" s="366"/>
      <c r="K27" s="369"/>
      <c r="L27" s="369"/>
      <c r="M27" s="369"/>
      <c r="N27" s="370"/>
      <c r="O27" s="370"/>
      <c r="P27" s="371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32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57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43" t="s">
        <v>177</v>
      </c>
      <c r="H1" s="11"/>
      <c r="I1" s="11"/>
      <c r="J1" s="12"/>
      <c r="K1" s="12" t="s">
        <v>178</v>
      </c>
      <c r="L1" s="12" t="s">
        <v>179</v>
      </c>
      <c r="M1" s="12"/>
      <c r="N1" s="12"/>
      <c r="O1" s="12"/>
      <c r="P1" s="12"/>
    </row>
    <row r="2" spans="1:33" ht="15.75" customHeight="1">
      <c r="A2" s="257" t="s">
        <v>180</v>
      </c>
      <c r="B2" s="258">
        <v>35</v>
      </c>
      <c r="C2" s="259">
        <v>30</v>
      </c>
      <c r="D2" s="260">
        <v>25</v>
      </c>
      <c r="E2" s="261">
        <v>20</v>
      </c>
      <c r="F2" s="262">
        <v>15</v>
      </c>
      <c r="G2" s="263">
        <v>10</v>
      </c>
      <c r="H2" s="11"/>
      <c r="I2" s="11"/>
      <c r="J2" s="12"/>
      <c r="K2" s="12">
        <v>5</v>
      </c>
      <c r="L2" s="264">
        <f ca="1">((L4*4)*100)/(500+K2)</f>
        <v>4.3527458593130781</v>
      </c>
      <c r="M2" s="12"/>
      <c r="N2" s="12"/>
      <c r="O2" s="12"/>
      <c r="P2" s="12"/>
    </row>
    <row r="3" spans="1:33" ht="15.75" customHeight="1">
      <c r="A3" s="265" t="s">
        <v>23</v>
      </c>
      <c r="B3" s="42" t="s">
        <v>34</v>
      </c>
      <c r="C3" s="42" t="s">
        <v>114</v>
      </c>
      <c r="D3" s="42" t="s">
        <v>35</v>
      </c>
      <c r="E3" s="42" t="s">
        <v>181</v>
      </c>
      <c r="F3" s="42" t="s">
        <v>117</v>
      </c>
      <c r="G3" s="42" t="s">
        <v>182</v>
      </c>
      <c r="H3" s="42" t="s">
        <v>183</v>
      </c>
      <c r="I3" s="42" t="s">
        <v>184</v>
      </c>
      <c r="J3" s="42" t="s">
        <v>185</v>
      </c>
      <c r="K3" s="42" t="s">
        <v>186</v>
      </c>
      <c r="L3" s="42" t="s">
        <v>187</v>
      </c>
      <c r="M3" s="42" t="s">
        <v>188</v>
      </c>
      <c r="N3" s="42" t="s">
        <v>121</v>
      </c>
      <c r="O3" s="42" t="s">
        <v>122</v>
      </c>
      <c r="P3" s="42" t="s">
        <v>123</v>
      </c>
    </row>
    <row r="4" spans="1:33" ht="12.75">
      <c r="A4" s="266" t="s">
        <v>22</v>
      </c>
      <c r="B4" s="116"/>
      <c r="C4" s="116" t="e">
        <f t="shared" ref="C4:E4" si="0">AVERAGE(C5:C27)</f>
        <v>#REF!</v>
      </c>
      <c r="D4" s="118" t="e">
        <f t="shared" si="0"/>
        <v>#REF!</v>
      </c>
      <c r="E4" s="267">
        <f t="shared" ca="1" si="0"/>
        <v>1.6464057524513587</v>
      </c>
      <c r="F4" s="116"/>
      <c r="G4" s="247">
        <f ca="1">SUM(G5:G27)</f>
        <v>112.93978181209694</v>
      </c>
      <c r="H4" s="116">
        <f>500+K2-SUM(H5:H27)</f>
        <v>0</v>
      </c>
      <c r="I4" s="118"/>
      <c r="J4" s="118" t="e">
        <f t="shared" ref="J4:L4" ca="1" si="1">SUM(J5:J27)</f>
        <v>#REF!</v>
      </c>
      <c r="K4" s="123">
        <f t="shared" ca="1" si="1"/>
        <v>18.254452514504756</v>
      </c>
      <c r="L4" s="123">
        <f t="shared" ca="1" si="1"/>
        <v>5.4953416473827614</v>
      </c>
      <c r="M4" s="117">
        <f t="shared" ref="M4:M28" ca="1" si="2">L4/K4</f>
        <v>0.30104116477972881</v>
      </c>
      <c r="N4" s="125"/>
      <c r="O4" s="125"/>
      <c r="P4" s="126"/>
    </row>
    <row r="5" spans="1:33" ht="12.75">
      <c r="A5" s="268"/>
      <c r="B5" s="300" t="e">
        <f>Divident_all!#REF!</f>
        <v>#REF!</v>
      </c>
      <c r="C5" s="300" t="e">
        <f>Divident_all!#REF!</f>
        <v>#REF!</v>
      </c>
      <c r="D5" s="372" t="e">
        <f>Divident_all!#REF!</f>
        <v>#REF!</v>
      </c>
      <c r="E5" s="302">
        <f ca="1">IFERROR(__xludf.DUMMYFUNCTION("(((H5/GOOGLEFINANCE (""Currency:cadRON""))/D5)+F5)"),0.824108850043763)</f>
        <v>0.824108850043763</v>
      </c>
      <c r="F5" s="300" t="e">
        <f>Divident_all!#REF!</f>
        <v>#REF!</v>
      </c>
      <c r="G5" s="373">
        <f ca="1">IFERROR(__xludf.DUMMYFUNCTION("H5/GOOGLEFINANCE (""Currency:CADRON"")"),10.5281916757522)</f>
        <v>10.5281916757522</v>
      </c>
      <c r="H5" s="303">
        <v>35</v>
      </c>
      <c r="I5" s="304" t="e">
        <f>D5/C5</f>
        <v>#REF!</v>
      </c>
      <c r="J5" s="373" t="e">
        <f t="shared" ref="J5:J7" ca="1" si="3">((E5*C5)/100)</f>
        <v>#REF!</v>
      </c>
      <c r="K5" s="305">
        <f ca="1">IFERROR(__xludf.DUMMYFUNCTION("(F5*C5)/100*GOOGLEFINANCE (""Currency:CADRON"")"),1.65567368778498)</f>
        <v>1.65567368778498</v>
      </c>
      <c r="L5" s="306">
        <f ca="1">IFERROR(__xludf.DUMMYFUNCTION("(((H5/GOOGLEFINANCE (""Currency:CADRON""))/D5)*C5)/100*GOOGLEFINANCE (""Currency:CADRON"")"),0.775786713286713)</f>
        <v>0.775786713286713</v>
      </c>
      <c r="M5" s="307">
        <f t="shared" ca="1" si="2"/>
        <v>0.46856256701439064</v>
      </c>
      <c r="N5" s="308" t="e">
        <f>Divident_all!#REF!</f>
        <v>#REF!</v>
      </c>
      <c r="O5" s="308" t="e">
        <f>Divident_all!#REF!</f>
        <v>#REF!</v>
      </c>
      <c r="P5" s="309" t="e">
        <f>Divident_all!#REF!</f>
        <v>#REF!</v>
      </c>
      <c r="R5" s="279"/>
    </row>
    <row r="6" spans="1:33" ht="12.75">
      <c r="A6" s="268"/>
      <c r="B6" s="269" t="e">
        <f>Divident_all!#REF!</f>
        <v>#REF!</v>
      </c>
      <c r="C6" s="269" t="e">
        <f>Divident_all!#REF!</f>
        <v>#REF!</v>
      </c>
      <c r="D6" s="270" t="e">
        <f>Divident_all!#REF!</f>
        <v>#REF!</v>
      </c>
      <c r="E6" s="271">
        <f ca="1">IFERROR(__xludf.DUMMYFUNCTION("(((H6/GOOGLEFINANCE (""Currency:USDRON""))/D6)+F6)"),2.15393116359913)</f>
        <v>2.1539311635991298</v>
      </c>
      <c r="F6" s="269" t="e">
        <f>Divident_all!#REF!</f>
        <v>#REF!</v>
      </c>
      <c r="G6" s="270">
        <f ca="1">IFERROR(__xludf.DUMMYFUNCTION("H6/GOOGLEFINANCE (""Currency:USDRON"")"),13.3508377650697)</f>
        <v>13.3508377650697</v>
      </c>
      <c r="H6" s="272">
        <v>60</v>
      </c>
      <c r="I6" s="273" t="e">
        <f>D6/(C6*3)</f>
        <v>#REF!</v>
      </c>
      <c r="J6" s="270" t="e">
        <f t="shared" ca="1" si="3"/>
        <v>#REF!</v>
      </c>
      <c r="K6" s="319">
        <f ca="1">IFERROR(__xludf.DUMMYFUNCTION("(F6*C6)/100*GOOGLEFINANCE (""Currency:USDRON"")"),2.2457488456975)</f>
        <v>2.2457488456974999</v>
      </c>
      <c r="L6" s="275">
        <f ca="1">IFERROR(__xludf.DUMMYFUNCTION("(((H6/GOOGLEFINANCE (""Currency:USDRON""))/D6)*C6)/100*GOOGLEFINANCE (""Currency:USDRON"")"),0.416246215943491)</f>
        <v>0.41624621594349098</v>
      </c>
      <c r="M6" s="276">
        <f t="shared" ca="1" si="2"/>
        <v>0.18534851603773636</v>
      </c>
      <c r="N6" s="277" t="e">
        <f>Divident_all!#REF!</f>
        <v>#REF!</v>
      </c>
      <c r="O6" s="277" t="e">
        <f>Divident_all!#REF!</f>
        <v>#REF!</v>
      </c>
      <c r="P6" s="278" t="e">
        <f>Divident_all!#REF!</f>
        <v>#REF!</v>
      </c>
      <c r="Q6" s="2" t="s">
        <v>189</v>
      </c>
    </row>
    <row r="7" spans="1:33" ht="12.75">
      <c r="A7" s="268"/>
      <c r="B7" s="328" t="e">
        <f>Divident_all!#REF!</f>
        <v>#REF!</v>
      </c>
      <c r="C7" s="328" t="e">
        <f>Divident_all!#REF!</f>
        <v>#REF!</v>
      </c>
      <c r="D7" s="329" t="e">
        <f>Divident_all!#REF!</f>
        <v>#REF!</v>
      </c>
      <c r="E7" s="330">
        <f ca="1">IFERROR(__xludf.DUMMYFUNCTION("(((H7/GOOGLEFINANCE (""Currency:USDRON""))/D7)+F7)"),2.85668747494641)</f>
        <v>2.8566874749464102</v>
      </c>
      <c r="F7" s="328" t="e">
        <f>Divident_all!#REF!</f>
        <v>#REF!</v>
      </c>
      <c r="G7" s="329">
        <f ca="1">IFERROR(__xludf.DUMMYFUNCTION("H7/GOOGLEFINANCE (""Currency:USDRON"")"),6.67541888253487)</f>
        <v>6.6754188825348697</v>
      </c>
      <c r="H7" s="331">
        <v>30</v>
      </c>
      <c r="I7" s="332" t="e">
        <f t="shared" ref="I7:I12" si="4">D7/C7</f>
        <v>#REF!</v>
      </c>
      <c r="J7" s="329" t="e">
        <f t="shared" ca="1" si="3"/>
        <v>#REF!</v>
      </c>
      <c r="K7" s="333">
        <f ca="1">IFERROR(__xludf.DUMMYFUNCTION("(F7*C7)/100*GOOGLEFINANCE (""Currency:USDRON"")"),1.59494305710999)</f>
        <v>1.5949430571099901</v>
      </c>
      <c r="L7" s="334">
        <f ca="1">IFERROR(__xludf.DUMMYFUNCTION("(((H7/GOOGLEFINANCE (""Currency:USDRON""))/D7)*C7)/100*GOOGLEFINANCE (""Currency:USDRON"")"),0.587557603686635)</f>
        <v>0.58755760368663501</v>
      </c>
      <c r="M7" s="335">
        <f t="shared" ca="1" si="2"/>
        <v>0.36838782492415717</v>
      </c>
      <c r="N7" s="336" t="e">
        <f>Divident_all!#REF!</f>
        <v>#REF!</v>
      </c>
      <c r="O7" s="336" t="e">
        <f>Divident_all!#REF!</f>
        <v>#REF!</v>
      </c>
      <c r="P7" s="337" t="e">
        <f>Divident_all!#REF!</f>
        <v>#REF!</v>
      </c>
      <c r="Q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</row>
    <row r="8" spans="1:33" ht="12.75">
      <c r="A8" s="268"/>
      <c r="B8" s="328" t="e">
        <f>Divident_all!#REF!</f>
        <v>#REF!</v>
      </c>
      <c r="C8" s="328" t="e">
        <f>Divident_all!#REF!</f>
        <v>#REF!</v>
      </c>
      <c r="D8" s="374" t="e">
        <f>Divident_all!#REF!</f>
        <v>#REF!</v>
      </c>
      <c r="E8" s="330">
        <f ca="1">IFERROR(__xludf.DUMMYFUNCTION("(((H8/GOOGLEFINANCE (""Currency:gbpRON"")*100)/D8)+F8)"),10.3151211215321)</f>
        <v>10.315121121532099</v>
      </c>
      <c r="F8" s="328" t="e">
        <f>Divident_all!#REF!</f>
        <v>#REF!</v>
      </c>
      <c r="G8" s="375">
        <f ca="1">IFERROR(__xludf.DUMMYFUNCTION("H8/GOOGLEFINANCE (""Currency:gbpRON"")"),4.47786289042829)</f>
        <v>4.4778628904282902</v>
      </c>
      <c r="H8" s="331">
        <v>25</v>
      </c>
      <c r="I8" s="332" t="e">
        <f t="shared" si="4"/>
        <v>#REF!</v>
      </c>
      <c r="J8" s="376" t="e">
        <f ca="1">((E8*C8)/100)/100</f>
        <v>#REF!</v>
      </c>
      <c r="K8" s="333">
        <f ca="1">IFERROR(__xludf.DUMMYFUNCTION("(F8*C8)/100/100*GOOGLEFINANCE (""Currency:gbpRON"")"),0.827839473473794)</f>
        <v>0.82783947347379405</v>
      </c>
      <c r="L8" s="343">
        <f ca="1">IFERROR(__xludf.DUMMYFUNCTION("(((H8/GOOGLEFINANCE (""Currency:GBPRON""))/D8)*C8)/100*GOOGLEFINANCE (""Currency:GBPRON"")"),0.381540697674418)</f>
        <v>0.38154069767441801</v>
      </c>
      <c r="M8" s="335">
        <f t="shared" ca="1" si="2"/>
        <v>0.46088729747736051</v>
      </c>
      <c r="N8" s="336" t="e">
        <f>Divident_all!#REF!</f>
        <v>#REF!</v>
      </c>
      <c r="O8" s="336" t="e">
        <f>Divident_all!#REF!</f>
        <v>#REF!</v>
      </c>
      <c r="P8" s="337" t="e">
        <f>Divident_all!#REF!</f>
        <v>#REF!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</row>
    <row r="9" spans="1:33" ht="12.75">
      <c r="A9" s="268"/>
      <c r="B9" s="320" t="e">
        <f>Divident_all!#REF!</f>
        <v>#REF!</v>
      </c>
      <c r="C9" s="320" t="e">
        <f>Divident_all!#REF!</f>
        <v>#REF!</v>
      </c>
      <c r="D9" s="321" t="e">
        <f>Divident_all!#REF!</f>
        <v>#REF!</v>
      </c>
      <c r="E9" s="322">
        <f ca="1">IFERROR(__xludf.DUMMYFUNCTION("(((H9/GOOGLEFINANCE (""Currency:USDRON""))/D9)+F9)"),1.79326844998221)</f>
        <v>1.79326844998221</v>
      </c>
      <c r="F9" s="320" t="e">
        <f>Divident_all!#REF!</f>
        <v>#REF!</v>
      </c>
      <c r="G9" s="321">
        <f ca="1">IFERROR(__xludf.DUMMYFUNCTION("H9/GOOGLEFINANCE (""Currency:USDRON"")"),5.56284906877906)</f>
        <v>5.5628490687790597</v>
      </c>
      <c r="H9" s="293">
        <v>25</v>
      </c>
      <c r="I9" s="323" t="e">
        <f t="shared" si="4"/>
        <v>#REF!</v>
      </c>
      <c r="J9" s="321" t="e">
        <f ca="1">((E9*C9)/100)</f>
        <v>#REF!</v>
      </c>
      <c r="K9" s="324">
        <f ca="1">IFERROR(__xludf.DUMMYFUNCTION("(F9*C9)/100*GOOGLEFINANCE (""Currency:USDRON"")"),1.39063641748199)</f>
        <v>1.3906364174819901</v>
      </c>
      <c r="L9" s="325">
        <f ca="1">IFERROR(__xludf.DUMMYFUNCTION("(((H9/GOOGLEFINANCE (""Currency:USDRON""))/D9)*C9)/100*GOOGLEFINANCE (""Currency:USDRON"")"),0.462962962962963)</f>
        <v>0.46296296296296302</v>
      </c>
      <c r="M9" s="297">
        <f t="shared" ca="1" si="2"/>
        <v>0.33291445351420101</v>
      </c>
      <c r="N9" s="326" t="e">
        <f>Divident_all!#REF!</f>
        <v>#REF!</v>
      </c>
      <c r="O9" s="326" t="e">
        <f>Divident_all!#REF!</f>
        <v>#REF!</v>
      </c>
      <c r="P9" s="327" t="e">
        <f>Divident_all!#REF!</f>
        <v>#REF!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</row>
    <row r="10" spans="1:33" ht="12.75">
      <c r="A10" s="268"/>
      <c r="B10" s="300" t="e">
        <f>Divident_all!#REF!</f>
        <v>#REF!</v>
      </c>
      <c r="C10" s="300" t="e">
        <f>Divident_all!#REF!</f>
        <v>#REF!</v>
      </c>
      <c r="D10" s="377" t="e">
        <f>Divident_all!#REF!</f>
        <v>#REF!</v>
      </c>
      <c r="E10" s="302">
        <f ca="1">IFERROR(__xludf.DUMMYFUNCTION("(((H10/GOOGLEFINANCE (""Currency:gbpRON"")*100)/D10)+F10)"),15.0360309761265)</f>
        <v>15.036030976126501</v>
      </c>
      <c r="F10" s="300" t="e">
        <f>Divident_all!#REF!</f>
        <v>#REF!</v>
      </c>
      <c r="G10" s="378">
        <f ca="1">IFERROR(__xludf.DUMMYFUNCTION("H10/GOOGLEFINANCE (""Currency:GBPRON"")"),4.47786289042829)</f>
        <v>4.4778628904282902</v>
      </c>
      <c r="H10" s="303">
        <v>25</v>
      </c>
      <c r="I10" s="304" t="e">
        <f t="shared" si="4"/>
        <v>#REF!</v>
      </c>
      <c r="J10" s="379" t="e">
        <f ca="1">((E10*C10)/100)/100</f>
        <v>#REF!</v>
      </c>
      <c r="K10" s="305">
        <f ca="1">IFERROR(__xludf.DUMMYFUNCTION("(F10*C10)/100/100*GOOGLEFINANCE (""Currency:GBPRON"")"),1.10467906444247)</f>
        <v>1.10467906444247</v>
      </c>
      <c r="L10" s="306">
        <f ca="1">IFERROR(__xludf.DUMMYFUNCTION("(((H10/GOOGLEFINANCE (""Currency:GBPRON""))/D10)*C10)/100*GOOGLEFINANCE (""Currency:GBPRON"")"),0.330805540509169)</f>
        <v>0.33080554050916899</v>
      </c>
      <c r="M10" s="307">
        <f t="shared" ca="1" si="2"/>
        <v>0.29945850442646532</v>
      </c>
      <c r="N10" s="308" t="e">
        <f>Divident_all!#REF!</f>
        <v>#REF!</v>
      </c>
      <c r="O10" s="308" t="e">
        <f>Divident_all!#REF!</f>
        <v>#REF!</v>
      </c>
      <c r="P10" s="309" t="e">
        <f>Divident_all!#REF!</f>
        <v>#REF!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</row>
    <row r="11" spans="1:33" ht="12.75">
      <c r="A11" s="268"/>
      <c r="B11" s="269" t="e">
        <f>Divident_all!#REF!</f>
        <v>#REF!</v>
      </c>
      <c r="C11" s="269" t="e">
        <f>Divident_all!#REF!</f>
        <v>#REF!</v>
      </c>
      <c r="D11" s="270" t="e">
        <f>Divident_all!#REF!</f>
        <v>#REF!</v>
      </c>
      <c r="E11" s="271">
        <f ca="1">IFERROR(__xludf.DUMMYFUNCTION("(((H11/GOOGLEFINANCE (""Currency:USDRON""))/D11)+F11)"),0.69048449103853)</f>
        <v>0.69048449103853005</v>
      </c>
      <c r="F11" s="269" t="e">
        <f>Divident_all!#REF!</f>
        <v>#REF!</v>
      </c>
      <c r="G11" s="270">
        <f ca="1">IFERROR(__xludf.DUMMYFUNCTION("H11/GOOGLEFINANCE (""Currency:USDRON"")"),5.56284906877906)</f>
        <v>5.5628490687790597</v>
      </c>
      <c r="H11" s="272">
        <v>25</v>
      </c>
      <c r="I11" s="273" t="e">
        <f t="shared" si="4"/>
        <v>#REF!</v>
      </c>
      <c r="J11" s="270" t="e">
        <f t="shared" ref="J11:J28" ca="1" si="5">((E11*C11)/100)</f>
        <v>#REF!</v>
      </c>
      <c r="K11" s="274">
        <f ca="1">IFERROR(__xludf.DUMMYFUNCTION("(F11*C11)/100*GOOGLEFINANCE (""Currency:USDRON"")"),1.383483293335)</f>
        <v>1.3834832933350001</v>
      </c>
      <c r="L11" s="275">
        <f ca="1">IFERROR(__xludf.DUMMYFUNCTION("(((H11/GOOGLEFINANCE (""Currency:USDRON""))/D11)*C11)/100*GOOGLEFINANCE (""Currency:USDRON"")"),0.323225199811941)</f>
        <v>0.32322519981194098</v>
      </c>
      <c r="M11" s="276">
        <f t="shared" ca="1" si="2"/>
        <v>0.23363144417362647</v>
      </c>
      <c r="N11" s="277" t="e">
        <f>Divident_all!#REF!</f>
        <v>#REF!</v>
      </c>
      <c r="O11" s="277" t="e">
        <f>Divident_all!#REF!</f>
        <v>#REF!</v>
      </c>
      <c r="P11" s="278" t="e">
        <f>Divident_all!#REF!</f>
        <v>#REF!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</row>
    <row r="12" spans="1:33" ht="12.75">
      <c r="A12" s="268"/>
      <c r="B12" s="355" t="e">
        <f>Divident_all!#REF!</f>
        <v>#REF!</v>
      </c>
      <c r="C12" s="355" t="e">
        <f>Divident_all!#REF!</f>
        <v>#REF!</v>
      </c>
      <c r="D12" s="356" t="e">
        <f>Divident_all!#REF!</f>
        <v>#REF!</v>
      </c>
      <c r="E12" s="357">
        <f ca="1">IFERROR(__xludf.DUMMYFUNCTION("(((H12/GOOGLEFINANCE (""Currency:USDRON""))/D12)+F12)"),0.159599376172772)</f>
        <v>0.15959937617277201</v>
      </c>
      <c r="F12" s="355" t="e">
        <f>Divident_all!#REF!</f>
        <v>#REF!</v>
      </c>
      <c r="G12" s="356">
        <f ca="1">IFERROR(__xludf.DUMMYFUNCTION("H12/GOOGLEFINANCE (""Currency:USDRON"")"),5.56284906877906)</f>
        <v>5.5628490687790597</v>
      </c>
      <c r="H12" s="358">
        <v>25</v>
      </c>
      <c r="I12" s="359" t="e">
        <f t="shared" si="4"/>
        <v>#REF!</v>
      </c>
      <c r="J12" s="356" t="e">
        <f t="shared" ca="1" si="5"/>
        <v>#REF!</v>
      </c>
      <c r="K12" s="360">
        <f ca="1">IFERROR(__xludf.DUMMYFUNCTION("(F12*C12)/100*GOOGLEFINANCE (""Currency:USDRON"")"),0.861558136081499)</f>
        <v>0.861558136081499</v>
      </c>
      <c r="L12" s="361">
        <f ca="1">IFERROR(__xludf.DUMMYFUNCTION("(((H12/GOOGLEFINANCE (""Currency:USDRON""))/D12)*C12)/100*GOOGLEFINANCE (""Currency:USDRON"")"),0.321913532074293)</f>
        <v>0.32191353207429302</v>
      </c>
      <c r="M12" s="362">
        <f t="shared" ca="1" si="2"/>
        <v>0.37364110277967549</v>
      </c>
      <c r="N12" s="363" t="e">
        <f>Divident_all!#REF!</f>
        <v>#REF!</v>
      </c>
      <c r="O12" s="363" t="e">
        <f>Divident_all!#REF!</f>
        <v>#REF!</v>
      </c>
      <c r="P12" s="364" t="e">
        <f>Divident_all!#REF!</f>
        <v>#REF!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ht="12.75">
      <c r="A13" s="268"/>
      <c r="B13" s="269" t="e">
        <f>Divident_all!#REF!</f>
        <v>#REF!</v>
      </c>
      <c r="C13" s="269" t="e">
        <f>Divident_all!#REF!</f>
        <v>#REF!</v>
      </c>
      <c r="D13" s="270" t="e">
        <f>Divident_all!#REF!</f>
        <v>#REF!</v>
      </c>
      <c r="E13" s="271">
        <f ca="1">IFERROR(__xludf.DUMMYFUNCTION("(((H13/GOOGLEFINANCE (""Currency:USDRON""))/D13)+F13)"),0.859087395569838)</f>
        <v>0.85908739556983804</v>
      </c>
      <c r="F13" s="269" t="e">
        <f>Divident_all!#REF!</f>
        <v>#REF!</v>
      </c>
      <c r="G13" s="270">
        <f ca="1">IFERROR(__xludf.DUMMYFUNCTION("H13/GOOGLEFINANCE (""Currency:USDRON"")"),5.56284906877906)</f>
        <v>5.5628490687790597</v>
      </c>
      <c r="H13" s="272">
        <v>25</v>
      </c>
      <c r="I13" s="273" t="e">
        <f>D13/(C13*3)</f>
        <v>#REF!</v>
      </c>
      <c r="J13" s="270" t="e">
        <f t="shared" ca="1" si="5"/>
        <v>#REF!</v>
      </c>
      <c r="K13" s="319">
        <f ca="1">IFERROR(__xludf.DUMMYFUNCTION("(F13*C13)/100*GOOGLEFINANCE (""Currency:USDRON"")"),0.879606554033999)</f>
        <v>0.87960655403399901</v>
      </c>
      <c r="L13" s="275">
        <f ca="1">IFERROR(__xludf.DUMMYFUNCTION("(((H13/GOOGLEFINANCE (""Currency:USDRON""))/D13)*C13)/100*GOOGLEFINANCE (""Currency:USDRON"")"),0.104903735395754)</f>
        <v>0.104903735395754</v>
      </c>
      <c r="M13" s="276">
        <f t="shared" ca="1" si="2"/>
        <v>0.11926211203708152</v>
      </c>
      <c r="N13" s="277" t="e">
        <f>Divident_all!#REF!</f>
        <v>#REF!</v>
      </c>
      <c r="O13" s="277" t="e">
        <f>Divident_all!#REF!</f>
        <v>#REF!</v>
      </c>
      <c r="P13" s="278" t="e">
        <f>Divident_all!#REF!</f>
        <v>#REF!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</row>
    <row r="14" spans="1:33" ht="12.75">
      <c r="A14" s="268"/>
      <c r="B14" s="300" t="e">
        <f>Divident_all!#REF!</f>
        <v>#REF!</v>
      </c>
      <c r="C14" s="300" t="e">
        <f>Divident_all!#REF!</f>
        <v>#REF!</v>
      </c>
      <c r="D14" s="301" t="e">
        <f>Divident_all!#REF!</f>
        <v>#REF!</v>
      </c>
      <c r="E14" s="302">
        <f ca="1">IFERROR(__xludf.DUMMYFUNCTION("(((H14/GOOGLEFINANCE (""Currency:USDRON""))/D14)+F14)"),0.603625515741228)</f>
        <v>0.60362551574122802</v>
      </c>
      <c r="F14" s="300" t="e">
        <f>Divident_all!#REF!</f>
        <v>#REF!</v>
      </c>
      <c r="G14" s="301">
        <f ca="1">IFERROR(__xludf.DUMMYFUNCTION("H14/GOOGLEFINANCE (""Currency:USDRON"")"),5.56284906877906)</f>
        <v>5.5628490687790597</v>
      </c>
      <c r="H14" s="303">
        <v>25</v>
      </c>
      <c r="I14" s="304" t="e">
        <f t="shared" ref="I14:I28" si="6">D14/C14</f>
        <v>#REF!</v>
      </c>
      <c r="J14" s="301" t="e">
        <f t="shared" ca="1" si="5"/>
        <v>#REF!</v>
      </c>
      <c r="K14" s="305">
        <f ca="1">IFERROR(__xludf.DUMMYFUNCTION("(F14*C14)/100*GOOGLEFINANCE (""Currency:USDRON"")"),0.831545827112519)</f>
        <v>0.83154582711251901</v>
      </c>
      <c r="L14" s="306">
        <f ca="1">IFERROR(__xludf.DUMMYFUNCTION("(((H14/GOOGLEFINANCE (""Currency:USDRON""))/D14)*C14)/100*GOOGLEFINANCE (""Currency:USDRON"")"),0.244332183341547)</f>
        <v>0.24433218334154699</v>
      </c>
      <c r="M14" s="307">
        <f t="shared" ca="1" si="2"/>
        <v>0.29382888516195471</v>
      </c>
      <c r="N14" s="308" t="e">
        <f>Divident_all!#REF!</f>
        <v>#REF!</v>
      </c>
      <c r="O14" s="308" t="e">
        <f>Divident_all!#REF!</f>
        <v>#REF!</v>
      </c>
      <c r="P14" s="309" t="e">
        <f>Divident_all!#REF!</f>
        <v>#REF!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ht="12.75">
      <c r="A15" s="268"/>
      <c r="B15" s="380" t="e">
        <f>Divident_all!#REF!</f>
        <v>#REF!</v>
      </c>
      <c r="C15" s="380" t="e">
        <f>Divident_all!#REF!</f>
        <v>#REF!</v>
      </c>
      <c r="D15" s="381" t="e">
        <f>Divident_all!#REF!</f>
        <v>#REF!</v>
      </c>
      <c r="E15" s="382">
        <f ca="1">IFERROR(__xludf.DUMMYFUNCTION("(((H15/GOOGLEFINANCE (""Currency:USDRON""))/D15)+F15)"),0.288454231147888)</f>
        <v>0.28845423114788799</v>
      </c>
      <c r="F15" s="380" t="e">
        <f>Divident_all!#REF!</f>
        <v>#REF!</v>
      </c>
      <c r="G15" s="381">
        <f ca="1">IFERROR(__xludf.DUMMYFUNCTION("H15/GOOGLEFINANCE (""Currency:USDRON"")"),5.56284906877906)</f>
        <v>5.5628490687790597</v>
      </c>
      <c r="H15" s="94">
        <v>25</v>
      </c>
      <c r="I15" s="383" t="e">
        <f t="shared" si="6"/>
        <v>#REF!</v>
      </c>
      <c r="J15" s="381" t="e">
        <f t="shared" ca="1" si="5"/>
        <v>#REF!</v>
      </c>
      <c r="K15" s="384">
        <f ca="1">IFERROR(__xludf.DUMMYFUNCTION("(F15*C15)/100*GOOGLEFINANCE (""Currency:USDRON"")"),0.645204634463999)</f>
        <v>0.645204634463999</v>
      </c>
      <c r="L15" s="385">
        <f ca="1">IFERROR(__xludf.DUMMYFUNCTION("(((H15/GOOGLEFINANCE (""Currency:USDRON""))/D15)*C15)/100*GOOGLEFINANCE (""Currency:USDRON"")"),0.236308034473172)</f>
        <v>0.236308034473172</v>
      </c>
      <c r="M15" s="386">
        <f t="shared" ca="1" si="2"/>
        <v>0.36625284731484281</v>
      </c>
      <c r="N15" s="387" t="e">
        <f>Divident_all!#REF!</f>
        <v>#REF!</v>
      </c>
      <c r="O15" s="387" t="e">
        <f>Divident_all!#REF!</f>
        <v>#REF!</v>
      </c>
      <c r="P15" s="388" t="e">
        <f>Divident_all!#REF!</f>
        <v>#REF!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</row>
    <row r="16" spans="1:33" ht="12.75">
      <c r="A16" s="268"/>
      <c r="B16" s="389" t="e">
        <f>Divident_all!#REF!</f>
        <v>#REF!</v>
      </c>
      <c r="C16" s="389" t="e">
        <f>Divident_all!#REF!</f>
        <v>#REF!</v>
      </c>
      <c r="D16" s="390" t="e">
        <f>Divident_all!#REF!</f>
        <v>#REF!</v>
      </c>
      <c r="E16" s="391">
        <f ca="1">IFERROR(__xludf.DUMMYFUNCTION("(((H16/GOOGLEFINANCE (""Currency:USDRON""))/D16)+F16)"),0.17692564382449)</f>
        <v>0.17692564382449</v>
      </c>
      <c r="F16" s="389" t="e">
        <f>Divident_all!#REF!</f>
        <v>#REF!</v>
      </c>
      <c r="G16" s="390">
        <f ca="1">IFERROR(__xludf.DUMMYFUNCTION("H16/GOOGLEFINANCE (""Currency:USDRON"")"),4.45027925502325)</f>
        <v>4.4502792550232497</v>
      </c>
      <c r="H16" s="392">
        <v>20</v>
      </c>
      <c r="I16" s="393" t="e">
        <f t="shared" si="6"/>
        <v>#REF!</v>
      </c>
      <c r="J16" s="390" t="e">
        <f t="shared" ca="1" si="5"/>
        <v>#REF!</v>
      </c>
      <c r="K16" s="384">
        <f ca="1">IFERROR(__xludf.DUMMYFUNCTION("(F16*C16)/100*GOOGLEFINANCE (""Currency:USDRON"")"),0.593238888777599)</f>
        <v>0.593238888777599</v>
      </c>
      <c r="L16" s="394">
        <f ca="1">IFERROR(__xludf.DUMMYFUNCTION("(((H16/GOOGLEFINANCE (""Currency:USDRON""))/D16)*C16)/100*GOOGLEFINANCE (""Currency:USDRON"")"),0.2058582548136)</f>
        <v>0.20585825481360001</v>
      </c>
      <c r="M16" s="386">
        <f t="shared" ca="1" si="2"/>
        <v>0.34700735017183743</v>
      </c>
      <c r="N16" s="395" t="e">
        <f>Divident_all!#REF!</f>
        <v>#REF!</v>
      </c>
      <c r="O16" s="395" t="e">
        <f>Divident_all!#REF!</f>
        <v>#REF!</v>
      </c>
      <c r="P16" s="396" t="e">
        <f>Divident_all!#REF!</f>
        <v>#REF!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</row>
    <row r="17" spans="1:33" ht="12.75">
      <c r="A17" s="268"/>
      <c r="B17" s="380" t="e">
        <f>Divident_all!#REF!</f>
        <v>#REF!</v>
      </c>
      <c r="C17" s="380" t="e">
        <f>Divident_all!#REF!</f>
        <v>#REF!</v>
      </c>
      <c r="D17" s="381" t="e">
        <f>Divident_all!#REF!</f>
        <v>#REF!</v>
      </c>
      <c r="E17" s="382">
        <f ca="1">IFERROR(__xludf.DUMMYFUNCTION("(((H17/GOOGLEFINANCE (""Currency:USDRON""))/D17)+F17)"),0.639307169075945)</f>
        <v>0.63930716907594498</v>
      </c>
      <c r="F17" s="380" t="e">
        <f>Divident_all!#REF!</f>
        <v>#REF!</v>
      </c>
      <c r="G17" s="381">
        <f ca="1">IFERROR(__xludf.DUMMYFUNCTION("H17/GOOGLEFINANCE (""Currency:USDRON"")"),4.45027925502325)</f>
        <v>4.4502792550232497</v>
      </c>
      <c r="H17" s="94">
        <v>20</v>
      </c>
      <c r="I17" s="383" t="e">
        <f t="shared" si="6"/>
        <v>#REF!</v>
      </c>
      <c r="J17" s="381" t="e">
        <f t="shared" ca="1" si="5"/>
        <v>#REF!</v>
      </c>
      <c r="K17" s="384">
        <f ca="1">IFERROR(__xludf.DUMMYFUNCTION("(F17*C17)/100*GOOGLEFINANCE (""Currency:USDRON"")"),1.18729486335849)</f>
        <v>1.1872948633584901</v>
      </c>
      <c r="L17" s="385">
        <f ca="1">IFERROR(__xludf.DUMMYFUNCTION("(((H17/GOOGLEFINANCE (""Currency:USDRON""))/D17)*C17)/100*GOOGLEFINANCE (""Currency:USDRON"")"),0.206163655685441)</f>
        <v>0.20616365568544101</v>
      </c>
      <c r="M17" s="386">
        <f t="shared" ca="1" si="2"/>
        <v>0.1736414955104478</v>
      </c>
      <c r="N17" s="387" t="e">
        <f>Divident_all!#REF!</f>
        <v>#REF!</v>
      </c>
      <c r="O17" s="387" t="e">
        <f>Divident_all!#REF!</f>
        <v>#REF!</v>
      </c>
      <c r="P17" s="388" t="e">
        <f>Divident_all!#REF!</f>
        <v>#REF!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</row>
    <row r="18" spans="1:33" ht="12.75">
      <c r="A18" s="268"/>
      <c r="B18" s="328" t="e">
        <f>Divident_all!#REF!</f>
        <v>#REF!</v>
      </c>
      <c r="C18" s="328" t="e">
        <f>Divident_all!#REF!</f>
        <v>#REF!</v>
      </c>
      <c r="D18" s="329" t="e">
        <f>Divident_all!#REF!</f>
        <v>#REF!</v>
      </c>
      <c r="E18" s="330">
        <f ca="1">IFERROR(__xludf.DUMMYFUNCTION("(((H18/GOOGLEFINANCE (""Currency:USDRON""))/D18)+F18)"),0.715671721871209)</f>
        <v>0.71567172187120898</v>
      </c>
      <c r="F18" s="328" t="e">
        <f>Divident_all!#REF!</f>
        <v>#REF!</v>
      </c>
      <c r="G18" s="329">
        <f ca="1">IFERROR(__xludf.DUMMYFUNCTION("H18/GOOGLEFINANCE (""Currency:USDRON"")"),4.45027925502325)</f>
        <v>4.4502792550232497</v>
      </c>
      <c r="H18" s="331">
        <v>20</v>
      </c>
      <c r="I18" s="332" t="e">
        <f t="shared" si="6"/>
        <v>#REF!</v>
      </c>
      <c r="J18" s="329" t="e">
        <f t="shared" ca="1" si="5"/>
        <v>#REF!</v>
      </c>
      <c r="K18" s="333">
        <f ca="1">IFERROR(__xludf.DUMMYFUNCTION("(F18*C18)/100*GOOGLEFINANCE (""Currency:USDRON"")"),0.74134314072)</f>
        <v>0.74134314071999996</v>
      </c>
      <c r="L18" s="334">
        <f ca="1">IFERROR(__xludf.DUMMYFUNCTION("(((H18/GOOGLEFINANCE (""Currency:USDRON""))/D18)*C18)/100*GOOGLEFINANCE (""Currency:USDRON"")"),0.22354694485842)</f>
        <v>0.22354694485842</v>
      </c>
      <c r="M18" s="335">
        <f t="shared" ca="1" si="2"/>
        <v>0.30154314861712883</v>
      </c>
      <c r="N18" s="336" t="e">
        <f>Divident_all!#REF!</f>
        <v>#REF!</v>
      </c>
      <c r="O18" s="336" t="e">
        <f>Divident_all!#REF!</f>
        <v>#REF!</v>
      </c>
      <c r="P18" s="337" t="e">
        <f>Divident_all!#REF!</f>
        <v>#REF!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</row>
    <row r="19" spans="1:33" ht="12.75">
      <c r="A19" s="268"/>
      <c r="B19" s="300" t="e">
        <f>Divident_all!#REF!</f>
        <v>#REF!</v>
      </c>
      <c r="C19" s="300" t="e">
        <f>Divident_all!#REF!</f>
        <v>#REF!</v>
      </c>
      <c r="D19" s="301" t="e">
        <f>Divident_all!#REF!</f>
        <v>#REF!</v>
      </c>
      <c r="E19" s="302">
        <f ca="1">IFERROR(__xludf.DUMMYFUNCTION("(((H19/GOOGLEFINANCE (""Currency:USDRON""))/D19)+F19)"),0.0926948969092046)</f>
        <v>9.2694896909204599E-2</v>
      </c>
      <c r="F19" s="300" t="e">
        <f>Divident_all!#REF!</f>
        <v>#REF!</v>
      </c>
      <c r="G19" s="301">
        <f ca="1">IFERROR(__xludf.DUMMYFUNCTION("H19/GOOGLEFINANCE (""Currency:USDRON"")"),4.45027925502325)</f>
        <v>4.4502792550232497</v>
      </c>
      <c r="H19" s="303">
        <v>20</v>
      </c>
      <c r="I19" s="304" t="e">
        <f t="shared" si="6"/>
        <v>#REF!</v>
      </c>
      <c r="J19" s="301" t="e">
        <f t="shared" ca="1" si="5"/>
        <v>#REF!</v>
      </c>
      <c r="K19" s="305">
        <f ca="1">IFERROR(__xludf.DUMMYFUNCTION("(F19*C19)/100*GOOGLEFINANCE (""Currency:USDRON"")"),0.4539026259352)</f>
        <v>0.45390262593519998</v>
      </c>
      <c r="L19" s="306">
        <f ca="1">IFERROR(__xludf.DUMMYFUNCTION("(((H19/GOOGLEFINANCE (""Currency:USDRON""))/D19)*C19)/100*GOOGLEFINANCE (""Currency:USDRON"")"),0.175133379726281)</f>
        <v>0.17513337972628101</v>
      </c>
      <c r="M19" s="307">
        <f t="shared" ca="1" si="2"/>
        <v>0.38583909790220822</v>
      </c>
      <c r="N19" s="308" t="e">
        <f>Divident_all!#REF!</f>
        <v>#REF!</v>
      </c>
      <c r="O19" s="308" t="e">
        <f>Divident_all!#REF!</f>
        <v>#REF!</v>
      </c>
      <c r="P19" s="309" t="e">
        <f>Divident_all!#REF!</f>
        <v>#REF!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</row>
    <row r="20" spans="1:33" ht="12.75">
      <c r="A20" s="268"/>
      <c r="B20" s="397" t="e">
        <f>Divident_all!#REF!</f>
        <v>#REF!</v>
      </c>
      <c r="C20" s="397" t="e">
        <f>Divident_all!#REF!</f>
        <v>#REF!</v>
      </c>
      <c r="D20" s="398" t="e">
        <f>Divident_all!#REF!</f>
        <v>#REF!</v>
      </c>
      <c r="E20" s="399">
        <f ca="1">IFERROR(__xludf.DUMMYFUNCTION("(((H20/GOOGLEFINANCE (""Currency:USDRON""))/D20)+F20)"),0.105773276019194)</f>
        <v>0.10577327601919401</v>
      </c>
      <c r="F20" s="397" t="e">
        <f>Divident_all!#REF!</f>
        <v>#REF!</v>
      </c>
      <c r="G20" s="398">
        <f ca="1">IFERROR(__xludf.DUMMYFUNCTION("H20/GOOGLEFINANCE (""Currency:USDRON"")"),4.45027925502325)</f>
        <v>4.4502792550232497</v>
      </c>
      <c r="H20" s="400">
        <v>20</v>
      </c>
      <c r="I20" s="401" t="e">
        <f t="shared" si="6"/>
        <v>#REF!</v>
      </c>
      <c r="J20" s="398" t="e">
        <f t="shared" ca="1" si="5"/>
        <v>#REF!</v>
      </c>
      <c r="K20" s="402">
        <f ca="1">IFERROR(__xludf.DUMMYFUNCTION("(E20*C20)/100*GOOGLEFINANCE (""Currency:usdRON"")"),0.537151918126385)</f>
        <v>0.53715191812638496</v>
      </c>
      <c r="L20" s="403">
        <f ca="1">IFERROR(__xludf.DUMMYFUNCTION("(((H20/GOOGLEFINANCE (""Currency:usdRON""))/D20)*C20)/100*GOOGLEFINANCE (""Currency:usdRON"")"),0.136275928605885)</f>
        <v>0.136275928605885</v>
      </c>
      <c r="M20" s="404">
        <f t="shared" ca="1" si="2"/>
        <v>0.25370090659123556</v>
      </c>
      <c r="N20" s="405" t="e">
        <f>Divident_all!#REF!</f>
        <v>#REF!</v>
      </c>
      <c r="O20" s="405" t="e">
        <f>Divident_all!#REF!</f>
        <v>#REF!</v>
      </c>
      <c r="P20" s="406" t="e">
        <f>Divident_all!#REF!</f>
        <v>#REF!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</row>
    <row r="21" spans="1:33" ht="12.75">
      <c r="A21" s="268"/>
      <c r="B21" s="407" t="e">
        <f>Divident_all!#REF!</f>
        <v>#REF!</v>
      </c>
      <c r="C21" s="407" t="e">
        <f>Divident_all!#REF!</f>
        <v>#REF!</v>
      </c>
      <c r="D21" s="408" t="e">
        <f>Divident_all!#REF!</f>
        <v>#REF!</v>
      </c>
      <c r="E21" s="409">
        <f ca="1">IFERROR(__xludf.DUMMYFUNCTION("(((H21/GOOGLEFINANCE (""Currency:USDRON""))/D21)+F21)"),0.0543653281078183)</f>
        <v>5.43653281078183E-2</v>
      </c>
      <c r="F21" s="407" t="e">
        <f>Divident_all!#REF!</f>
        <v>#REF!</v>
      </c>
      <c r="G21" s="408">
        <f ca="1">IFERROR(__xludf.DUMMYFUNCTION("H21/GOOGLEFINANCE (""Currency:USDRON"")"),3.33770944126743)</f>
        <v>3.33770944126743</v>
      </c>
      <c r="H21" s="410">
        <v>15</v>
      </c>
      <c r="I21" s="411" t="e">
        <f t="shared" si="6"/>
        <v>#REF!</v>
      </c>
      <c r="J21" s="408" t="e">
        <f t="shared" ca="1" si="5"/>
        <v>#REF!</v>
      </c>
      <c r="K21" s="412">
        <f ca="1">IFERROR(__xludf.DUMMYFUNCTION("(F21*C21)/100*GOOGLEFINANCE (""Currency:USDRON"")"),0.282778416338599)</f>
        <v>0.28277841633859901</v>
      </c>
      <c r="L21" s="413">
        <f ca="1">IFERROR(__xludf.DUMMYFUNCTION("(((H21/GOOGLEFINANCE (""Currency:USDRON""))/D21)*C21)/100*GOOGLEFINANCE (""Currency:USDRON"")"),0.100809040708873)</f>
        <v>0.100809040708873</v>
      </c>
      <c r="M21" s="414">
        <f t="shared" ca="1" si="2"/>
        <v>0.35649482027003154</v>
      </c>
      <c r="N21" s="415" t="e">
        <f>Divident_all!#REF!</f>
        <v>#REF!</v>
      </c>
      <c r="O21" s="415" t="e">
        <f>Divident_all!#REF!</f>
        <v>#REF!</v>
      </c>
      <c r="P21" s="416" t="e">
        <f>Divident_all!#REF!</f>
        <v>#REF!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</row>
    <row r="22" spans="1:33" ht="12.75">
      <c r="A22" s="268"/>
      <c r="B22" s="407" t="e">
        <f>Divident_all!#REF!</f>
        <v>#REF!</v>
      </c>
      <c r="C22" s="407" t="e">
        <f>Divident_all!#REF!</f>
        <v>#REF!</v>
      </c>
      <c r="D22" s="408" t="e">
        <f>Divident_all!#REF!</f>
        <v>#REF!</v>
      </c>
      <c r="E22" s="409">
        <f ca="1">IFERROR(__xludf.DUMMYFUNCTION("(((H22/GOOGLEFINANCE (""Currency:USDRON""))/D22)+F22)"),0.14893678926896)</f>
        <v>0.14893678926896001</v>
      </c>
      <c r="F22" s="407" t="e">
        <f>Divident_all!#REF!</f>
        <v>#REF!</v>
      </c>
      <c r="G22" s="408">
        <f ca="1">IFERROR(__xludf.DUMMYFUNCTION("H22/GOOGLEFINANCE (""Currency:USDRON"")"),3.33770944126743)</f>
        <v>3.33770944126743</v>
      </c>
      <c r="H22" s="410">
        <v>15</v>
      </c>
      <c r="I22" s="411" t="e">
        <f t="shared" si="6"/>
        <v>#REF!</v>
      </c>
      <c r="J22" s="408" t="e">
        <f t="shared" ca="1" si="5"/>
        <v>#REF!</v>
      </c>
      <c r="K22" s="412">
        <f ca="1">IFERROR(__xludf.DUMMYFUNCTION("(F22*C22)/100*GOOGLEFINANCE (""Currency:USDRON"")"),0.257735556416)</f>
        <v>0.25773555641599999</v>
      </c>
      <c r="L22" s="413">
        <f ca="1">IFERROR(__xludf.DUMMYFUNCTION("(((H22/GOOGLEFINANCE (""Currency:USDRON""))/D22)*C22)/100*GOOGLEFINANCE (""Currency:USDRON"")"),0.0903195924038907)</f>
        <v>9.0319592403890703E-2</v>
      </c>
      <c r="M22" s="414">
        <f t="shared" ca="1" si="2"/>
        <v>0.35043512684027844</v>
      </c>
      <c r="N22" s="415" t="e">
        <f>Divident_all!#REF!</f>
        <v>#REF!</v>
      </c>
      <c r="O22" s="415" t="e">
        <f>Divident_all!#REF!</f>
        <v>#REF!</v>
      </c>
      <c r="P22" s="416" t="e">
        <f>Divident_all!#REF!</f>
        <v>#REF!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</row>
    <row r="23" spans="1:33" ht="12.75">
      <c r="A23" s="268"/>
      <c r="B23" s="407" t="e">
        <f>Divident_all!#REF!</f>
        <v>#REF!</v>
      </c>
      <c r="C23" s="407" t="e">
        <f>Divident_all!#REF!</f>
        <v>#REF!</v>
      </c>
      <c r="D23" s="408" t="e">
        <f>Divident_all!#REF!</f>
        <v>#REF!</v>
      </c>
      <c r="E23" s="409">
        <f ca="1">IFERROR(__xludf.DUMMYFUNCTION("(((H23/GOOGLEFINANCE (""Currency:USDRON""))/D23)+F23)"),0.0285907548666968)</f>
        <v>2.8590754866696801E-2</v>
      </c>
      <c r="F23" s="407" t="e">
        <f>Divident_all!#REF!</f>
        <v>#REF!</v>
      </c>
      <c r="G23" s="408">
        <f ca="1">IFERROR(__xludf.DUMMYFUNCTION("H23/GOOGLEFINANCE (""Currency:USDRON"")"),2.22513962751162)</f>
        <v>2.22513962751162</v>
      </c>
      <c r="H23" s="410">
        <v>10</v>
      </c>
      <c r="I23" s="411" t="e">
        <f t="shared" si="6"/>
        <v>#REF!</v>
      </c>
      <c r="J23" s="408" t="e">
        <f t="shared" ca="1" si="5"/>
        <v>#REF!</v>
      </c>
      <c r="K23" s="412">
        <f ca="1">IFERROR(__xludf.DUMMYFUNCTION("(F23*C23)/100*GOOGLEFINANCE (""Currency:USDRON"")"),0.1292128981234)</f>
        <v>0.12921289812340001</v>
      </c>
      <c r="L23" s="413">
        <f ca="1">IFERROR(__xludf.DUMMYFUNCTION("(((H23/GOOGLEFINANCE (""Currency:USDRON""))/D23)*C23)/100*GOOGLEFINANCE (""Currency:USDRON"")"),0.0416784181003415)</f>
        <v>4.1678418100341501E-2</v>
      </c>
      <c r="M23" s="414">
        <f t="shared" ca="1" si="2"/>
        <v>0.32255617438855111</v>
      </c>
      <c r="N23" s="415" t="e">
        <f>Divident_all!#REF!</f>
        <v>#REF!</v>
      </c>
      <c r="O23" s="415" t="e">
        <f>Divident_all!#REF!</f>
        <v>#REF!</v>
      </c>
      <c r="P23" s="416" t="e">
        <f>Divident_all!#REF!</f>
        <v>#REF!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</row>
    <row r="24" spans="1:33" ht="12.75">
      <c r="A24" s="268"/>
      <c r="B24" s="380" t="e">
        <f>Divident_all!#REF!</f>
        <v>#REF!</v>
      </c>
      <c r="C24" s="380" t="e">
        <f>Divident_all!#REF!</f>
        <v>#REF!</v>
      </c>
      <c r="D24" s="381" t="e">
        <f>Divident_all!#REF!</f>
        <v>#REF!</v>
      </c>
      <c r="E24" s="382">
        <f ca="1">IFERROR(__xludf.DUMMYFUNCTION("(((H24/GOOGLEFINANCE (""Currency:USDRON""))/D24)+F24)"),0.0944637858514595)</f>
        <v>9.4463785851459495E-2</v>
      </c>
      <c r="F24" s="380" t="e">
        <f>Divident_all!#REF!</f>
        <v>#REF!</v>
      </c>
      <c r="G24" s="381">
        <f ca="1">IFERROR(__xludf.DUMMYFUNCTION("H24/GOOGLEFINANCE (""Currency:USDRON"")"),2.22513962751162)</f>
        <v>2.22513962751162</v>
      </c>
      <c r="H24" s="94">
        <v>10</v>
      </c>
      <c r="I24" s="383" t="e">
        <f t="shared" si="6"/>
        <v>#REF!</v>
      </c>
      <c r="J24" s="381" t="e">
        <f t="shared" ca="1" si="5"/>
        <v>#REF!</v>
      </c>
      <c r="K24" s="384">
        <f ca="1">IFERROR(__xludf.DUMMYFUNCTION("(F24*C24)/100*GOOGLEFINANCE (""Currency:USDRON"")"),0.125169808022999)</f>
        <v>0.12516980802299901</v>
      </c>
      <c r="L24" s="385">
        <f ca="1">IFERROR(__xludf.DUMMYFUNCTION("(((H24/GOOGLEFINANCE (""Currency:USDRON""))/D24)*C24)/100*GOOGLEFINANCE (""Currency:USDRON"")"),0.0435807477250301)</f>
        <v>4.3580747725030101E-2</v>
      </c>
      <c r="M24" s="386">
        <f t="shared" ca="1" si="2"/>
        <v>0.3481730012482121</v>
      </c>
      <c r="N24" s="387" t="e">
        <f>Divident_all!#REF!</f>
        <v>#REF!</v>
      </c>
      <c r="O24" s="387" t="e">
        <f>Divident_all!#REF!</f>
        <v>#REF!</v>
      </c>
      <c r="P24" s="388" t="e">
        <f>Divident_all!#REF!</f>
        <v>#REF!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33" ht="12.75">
      <c r="A25" s="268"/>
      <c r="B25" s="407" t="e">
        <f>Divident_all!#REF!</f>
        <v>#REF!</v>
      </c>
      <c r="C25" s="407" t="e">
        <f>Divident_all!#REF!</f>
        <v>#REF!</v>
      </c>
      <c r="D25" s="408" t="e">
        <f>Divident_all!#REF!</f>
        <v>#REF!</v>
      </c>
      <c r="E25" s="409">
        <f ca="1">IFERROR(__xludf.DUMMYFUNCTION("(((H25/GOOGLEFINANCE (""Currency:USDRON""))/D25)+F25)"),0.110934674610649)</f>
        <v>0.110934674610649</v>
      </c>
      <c r="F25" s="407" t="e">
        <f>Divident_all!#REF!</f>
        <v>#REF!</v>
      </c>
      <c r="G25" s="408">
        <f ca="1">IFERROR(__xludf.DUMMYFUNCTION("H25/GOOGLEFINANCE (""Currency:USDRON"")"),2.22513962751162)</f>
        <v>2.22513962751162</v>
      </c>
      <c r="H25" s="410">
        <v>10</v>
      </c>
      <c r="I25" s="411" t="e">
        <f t="shared" si="6"/>
        <v>#REF!</v>
      </c>
      <c r="J25" s="408" t="e">
        <f t="shared" ca="1" si="5"/>
        <v>#REF!</v>
      </c>
      <c r="K25" s="412">
        <f ca="1">IFERROR(__xludf.DUMMYFUNCTION("(F25*C25)/100*GOOGLEFINANCE (""Currency:USDRON"")"),0.217417113523349)</f>
        <v>0.217417113523349</v>
      </c>
      <c r="L25" s="413">
        <f ca="1">IFERROR(__xludf.DUMMYFUNCTION("(((H25/GOOGLEFINANCE (""Currency:USDRON""))/D25)*C25)/100*GOOGLEFINANCE (""Currency:USDRON"")"),0.0343514046663492)</f>
        <v>3.43514046663492E-2</v>
      </c>
      <c r="M25" s="414">
        <f t="shared" ca="1" si="2"/>
        <v>0.15799770362906648</v>
      </c>
      <c r="N25" s="415" t="e">
        <f>Divident_all!#REF!</f>
        <v>#REF!</v>
      </c>
      <c r="O25" s="415" t="e">
        <f>Divident_all!#REF!</f>
        <v>#REF!</v>
      </c>
      <c r="P25" s="416" t="e">
        <f>Divident_all!#REF!</f>
        <v>#REF!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</row>
    <row r="26" spans="1:33" ht="12.75">
      <c r="A26" s="268"/>
      <c r="B26" s="355" t="e">
        <f>Divident_all!#REF!</f>
        <v>#REF!</v>
      </c>
      <c r="C26" s="355" t="e">
        <f>Divident_all!#REF!</f>
        <v>#REF!</v>
      </c>
      <c r="D26" s="356" t="e">
        <f>Divident_all!#REF!</f>
        <v>#REF!</v>
      </c>
      <c r="E26" s="357">
        <f ca="1">IFERROR(__xludf.DUMMYFUNCTION("(((H26/GOOGLEFINANCE (""Currency:USDRON""))/D26)+F26)"),0.0730402727247044)</f>
        <v>7.3040272724704397E-2</v>
      </c>
      <c r="F26" s="355" t="e">
        <f>Divident_all!#REF!</f>
        <v>#REF!</v>
      </c>
      <c r="G26" s="356">
        <f ca="1">IFERROR(__xludf.DUMMYFUNCTION("H26/GOOGLEFINANCE (""Currency:USDRON"")"),2.22513962751162)</f>
        <v>2.22513962751162</v>
      </c>
      <c r="H26" s="358">
        <v>10</v>
      </c>
      <c r="I26" s="359" t="e">
        <f t="shared" si="6"/>
        <v>#REF!</v>
      </c>
      <c r="J26" s="356" t="e">
        <f t="shared" ca="1" si="5"/>
        <v>#REF!</v>
      </c>
      <c r="K26" s="360">
        <f ca="1">IFERROR(__xludf.DUMMYFUNCTION("(F26*C26)/100*GOOGLEFINANCE (""Currency:USDRON"")"),0.197151565041599)</f>
        <v>0.197151565041599</v>
      </c>
      <c r="L26" s="361">
        <f ca="1">IFERROR(__xludf.DUMMYFUNCTION("(((H26/GOOGLEFINANCE (""Currency:USDRON""))/D26)*C26)/100*GOOGLEFINANCE (""Currency:USDRON"")"),0.0260586319218241)</f>
        <v>2.6058631921824098E-2</v>
      </c>
      <c r="M26" s="362">
        <f t="shared" ca="1" si="2"/>
        <v>0.13217562800643112</v>
      </c>
      <c r="N26" s="363" t="e">
        <f>Divident_all!#REF!</f>
        <v>#REF!</v>
      </c>
      <c r="O26" s="363" t="e">
        <f>Divident_all!#REF!</f>
        <v>#REF!</v>
      </c>
      <c r="P26" s="364" t="e">
        <f>Divident_all!#REF!</f>
        <v>#REF!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</row>
    <row r="27" spans="1:33" ht="12.75">
      <c r="A27" s="268"/>
      <c r="B27" s="320" t="e">
        <f>Divident_all!#REF!</f>
        <v>#REF!</v>
      </c>
      <c r="C27" s="320" t="e">
        <f>Divident_all!#REF!</f>
        <v>#REF!</v>
      </c>
      <c r="D27" s="321" t="e">
        <f>Divident_all!#REF!</f>
        <v>#REF!</v>
      </c>
      <c r="E27" s="322">
        <f ca="1">IFERROR(__xludf.DUMMYFUNCTION("(((H27/GOOGLEFINANCE (""Currency:USDRON""))/D27)+F27)"),0.0462289473505437)</f>
        <v>4.6228947350543698E-2</v>
      </c>
      <c r="F27" s="320" t="e">
        <f>Divident_all!#REF!</f>
        <v>#REF!</v>
      </c>
      <c r="G27" s="321">
        <f ca="1">IFERROR(__xludf.DUMMYFUNCTION("H27/GOOGLEFINANCE (""Currency:USDRON"")"),2.22513962751162)</f>
        <v>2.22513962751162</v>
      </c>
      <c r="H27" s="293">
        <v>10</v>
      </c>
      <c r="I27" s="323" t="e">
        <f t="shared" si="6"/>
        <v>#REF!</v>
      </c>
      <c r="J27" s="321" t="e">
        <f t="shared" ca="1" si="5"/>
        <v>#REF!</v>
      </c>
      <c r="K27" s="324">
        <f ca="1">IFERROR(__xludf.DUMMYFUNCTION("(F27*C27)/100*GOOGLEFINANCE (""Currency:USDRON"")"),0.111136729103399)</f>
        <v>0.111136729103399</v>
      </c>
      <c r="L27" s="325">
        <f ca="1">IFERROR(__xludf.DUMMYFUNCTION("(((H27/GOOGLEFINANCE (""Currency:USDRON""))/D27)*C27)/100*GOOGLEFINANCE (""Currency:USDRON"")"),0.025983229006732)</f>
        <v>2.5983229006732E-2</v>
      </c>
      <c r="M27" s="297">
        <f t="shared" ca="1" si="2"/>
        <v>0.23379515679787385</v>
      </c>
      <c r="N27" s="326" t="e">
        <f>Divident_all!#REF!</f>
        <v>#REF!</v>
      </c>
      <c r="O27" s="326" t="e">
        <f>Divident_all!#REF!</f>
        <v>#REF!</v>
      </c>
      <c r="P27" s="327" t="e">
        <f>Divident_all!#REF!</f>
        <v>#REF!</v>
      </c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</row>
    <row r="28" spans="1:33" ht="12.75">
      <c r="A28" s="268"/>
      <c r="B28" s="355" t="e">
        <f>Divident_all!#REF!</f>
        <v>#REF!</v>
      </c>
      <c r="C28" s="355" t="e">
        <f>Divident_all!#REF!</f>
        <v>#REF!</v>
      </c>
      <c r="D28" s="356" t="e">
        <f>Divident_all!#REF!</f>
        <v>#REF!</v>
      </c>
      <c r="E28" s="357">
        <f ca="1">IFERROR(__xludf.DUMMYFUNCTION("(((H28/GOOGLEFINANCE (""Currency:USDRON""))/D28)+F28)"),0.0655959529175693)</f>
        <v>6.5595952917569297E-2</v>
      </c>
      <c r="F28" s="355" t="e">
        <f>Divident_all!#REF!</f>
        <v>#REF!</v>
      </c>
      <c r="G28" s="356">
        <f ca="1">IFERROR(__xludf.DUMMYFUNCTION("H28/GOOGLEFINANCE (""Currency:USDRON"")"),2.22513962751162)</f>
        <v>2.22513962751162</v>
      </c>
      <c r="H28" s="358">
        <v>10</v>
      </c>
      <c r="I28" s="359" t="e">
        <f t="shared" si="6"/>
        <v>#REF!</v>
      </c>
      <c r="J28" s="356" t="e">
        <f t="shared" ca="1" si="5"/>
        <v>#REF!</v>
      </c>
      <c r="K28" s="360">
        <f ca="1">IFERROR(__xludf.DUMMYFUNCTION("(F28*C28)/100*GOOGLEFINANCE (""Currency:USDRON"")"),0.0538811221182)</f>
        <v>5.3881122118200002E-2</v>
      </c>
      <c r="L28" s="361">
        <f ca="1">IFERROR(__xludf.DUMMYFUNCTION("(((H28/GOOGLEFINANCE (""Currency:USDRON""))/D28)*C28)/100*GOOGLEFINANCE (""Currency:USDRON"")"),0.013921675443375)</f>
        <v>1.3921675443375E-2</v>
      </c>
      <c r="M28" s="362">
        <f t="shared" ca="1" si="2"/>
        <v>0.25837760789084468</v>
      </c>
      <c r="N28" s="363" t="e">
        <f>Divident_all!#REF!</f>
        <v>#REF!</v>
      </c>
      <c r="O28" s="363" t="e">
        <f>Divident_all!#REF!</f>
        <v>#REF!</v>
      </c>
      <c r="P28" s="364" t="e">
        <f>Divident_all!#REF!</f>
        <v>#REF!</v>
      </c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</row>
    <row r="31" spans="1:33" ht="12.75">
      <c r="A31" s="166"/>
      <c r="B31" s="365"/>
      <c r="C31" s="365"/>
      <c r="D31" s="366"/>
      <c r="E31" s="367"/>
      <c r="F31" s="365"/>
      <c r="G31" s="366"/>
      <c r="H31" s="365"/>
      <c r="I31" s="368"/>
      <c r="J31" s="366"/>
      <c r="K31" s="369"/>
      <c r="L31" s="369"/>
      <c r="M31" s="369"/>
      <c r="N31" s="370"/>
      <c r="O31" s="370"/>
      <c r="P31" s="371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</row>
    <row r="32" spans="1:33" ht="12.75">
      <c r="A32" s="166"/>
      <c r="B32" s="365"/>
      <c r="C32" s="365"/>
      <c r="D32" s="366"/>
      <c r="E32" s="367"/>
      <c r="F32" s="365"/>
      <c r="G32" s="366"/>
      <c r="H32" s="365"/>
      <c r="I32" s="368"/>
      <c r="J32" s="366"/>
      <c r="K32" s="369"/>
      <c r="L32" s="369"/>
      <c r="M32" s="369"/>
      <c r="N32" s="370"/>
      <c r="O32" s="370"/>
      <c r="P32" s="371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W100"/>
  <sheetViews>
    <sheetView workbookViewId="0"/>
  </sheetViews>
  <sheetFormatPr defaultColWidth="12.5703125" defaultRowHeight="15.75" customHeight="1"/>
  <sheetData>
    <row r="1" spans="1:49" ht="12.75">
      <c r="A1" s="417">
        <v>2023</v>
      </c>
      <c r="B1" s="418">
        <f ca="1">SUM(D35,H35,L35,P35,T35,X35,AB35,AF35,AJ35,AN35,AR35,AV35)</f>
        <v>217.13782424407816</v>
      </c>
      <c r="C1" s="419">
        <f>SUM(D33,H33,L33,P33,T33,X33,AB33,AF33,AJ33,AN33,AR33,AV33)</f>
        <v>49</v>
      </c>
      <c r="E1" s="420">
        <f>(Divident_all!B2)</f>
        <v>0</v>
      </c>
    </row>
    <row r="2" spans="1:49" ht="12.75">
      <c r="A2" s="421" t="s">
        <v>13</v>
      </c>
      <c r="B2" s="49" t="s">
        <v>190</v>
      </c>
      <c r="C2" s="422"/>
      <c r="D2" s="423"/>
      <c r="E2" s="421" t="s">
        <v>14</v>
      </c>
      <c r="F2" s="49" t="s">
        <v>190</v>
      </c>
      <c r="G2" s="422"/>
      <c r="H2" s="423"/>
      <c r="I2" s="421" t="s">
        <v>15</v>
      </c>
      <c r="J2" s="49" t="s">
        <v>190</v>
      </c>
      <c r="K2" s="422"/>
      <c r="L2" s="423"/>
      <c r="M2" s="421" t="s">
        <v>16</v>
      </c>
      <c r="N2" s="49" t="s">
        <v>191</v>
      </c>
      <c r="O2" s="422"/>
      <c r="P2" s="423"/>
      <c r="Q2" s="421" t="s">
        <v>27</v>
      </c>
      <c r="R2" s="49" t="s">
        <v>191</v>
      </c>
      <c r="S2" s="422"/>
      <c r="T2" s="423"/>
      <c r="U2" s="421" t="s">
        <v>18</v>
      </c>
      <c r="V2" s="49" t="s">
        <v>191</v>
      </c>
      <c r="W2" s="422"/>
      <c r="X2" s="423"/>
      <c r="Y2" s="421" t="s">
        <v>19</v>
      </c>
      <c r="Z2" s="49" t="s">
        <v>192</v>
      </c>
      <c r="AA2" s="422"/>
      <c r="AB2" s="423"/>
      <c r="AC2" s="424" t="s">
        <v>8</v>
      </c>
      <c r="AD2" s="425" t="s">
        <v>192</v>
      </c>
      <c r="AE2" s="426"/>
      <c r="AF2" s="427"/>
      <c r="AG2" s="424" t="s">
        <v>9</v>
      </c>
      <c r="AH2" s="425" t="s">
        <v>192</v>
      </c>
      <c r="AI2" s="426"/>
      <c r="AJ2" s="427"/>
      <c r="AK2" s="424" t="s">
        <v>10</v>
      </c>
      <c r="AL2" s="425" t="s">
        <v>193</v>
      </c>
      <c r="AM2" s="426"/>
      <c r="AN2" s="427"/>
      <c r="AO2" s="424" t="s">
        <v>11</v>
      </c>
      <c r="AP2" s="425" t="s">
        <v>193</v>
      </c>
      <c r="AQ2" s="426"/>
      <c r="AR2" s="427"/>
      <c r="AS2" s="424" t="s">
        <v>12</v>
      </c>
      <c r="AT2" s="425" t="s">
        <v>193</v>
      </c>
      <c r="AU2" s="426"/>
      <c r="AV2" s="427"/>
      <c r="AW2" s="166"/>
    </row>
    <row r="3" spans="1:49" ht="12.75">
      <c r="A3" s="428" t="s">
        <v>34</v>
      </c>
      <c r="B3" s="429" t="s">
        <v>194</v>
      </c>
      <c r="C3" s="429" t="s">
        <v>120</v>
      </c>
      <c r="D3" s="46"/>
      <c r="E3" s="428" t="s">
        <v>34</v>
      </c>
      <c r="F3" s="428" t="s">
        <v>194</v>
      </c>
      <c r="G3" s="429" t="s">
        <v>120</v>
      </c>
      <c r="H3" s="46"/>
      <c r="I3" s="428" t="s">
        <v>34</v>
      </c>
      <c r="J3" s="428" t="s">
        <v>194</v>
      </c>
      <c r="K3" s="429" t="s">
        <v>120</v>
      </c>
      <c r="L3" s="46"/>
      <c r="M3" s="428" t="s">
        <v>34</v>
      </c>
      <c r="N3" s="428" t="s">
        <v>194</v>
      </c>
      <c r="O3" s="429" t="s">
        <v>120</v>
      </c>
      <c r="P3" s="46"/>
      <c r="Q3" s="428" t="s">
        <v>34</v>
      </c>
      <c r="R3" s="428" t="s">
        <v>194</v>
      </c>
      <c r="S3" s="429" t="s">
        <v>120</v>
      </c>
      <c r="T3" s="46"/>
      <c r="U3" s="428" t="s">
        <v>34</v>
      </c>
      <c r="V3" s="428" t="s">
        <v>194</v>
      </c>
      <c r="W3" s="429" t="s">
        <v>120</v>
      </c>
      <c r="X3" s="46"/>
      <c r="Y3" s="428" t="s">
        <v>34</v>
      </c>
      <c r="Z3" s="428" t="s">
        <v>194</v>
      </c>
      <c r="AA3" s="429" t="s">
        <v>120</v>
      </c>
      <c r="AB3" s="46"/>
      <c r="AC3" s="430" t="s">
        <v>34</v>
      </c>
      <c r="AD3" s="431" t="s">
        <v>194</v>
      </c>
      <c r="AE3" s="432" t="s">
        <v>120</v>
      </c>
      <c r="AF3" s="161"/>
      <c r="AG3" s="430" t="s">
        <v>34</v>
      </c>
      <c r="AH3" s="431" t="s">
        <v>194</v>
      </c>
      <c r="AI3" s="432" t="s">
        <v>120</v>
      </c>
      <c r="AJ3" s="161"/>
      <c r="AK3" s="430" t="s">
        <v>34</v>
      </c>
      <c r="AL3" s="431" t="s">
        <v>194</v>
      </c>
      <c r="AM3" s="432" t="s">
        <v>120</v>
      </c>
      <c r="AN3" s="161"/>
      <c r="AO3" s="430" t="s">
        <v>34</v>
      </c>
      <c r="AP3" s="431" t="s">
        <v>194</v>
      </c>
      <c r="AQ3" s="432" t="s">
        <v>120</v>
      </c>
      <c r="AR3" s="161"/>
      <c r="AS3" s="430" t="s">
        <v>34</v>
      </c>
      <c r="AT3" s="431" t="s">
        <v>194</v>
      </c>
      <c r="AU3" s="432" t="s">
        <v>120</v>
      </c>
      <c r="AV3" s="161"/>
      <c r="AW3" s="166"/>
    </row>
    <row r="4" spans="1:49" ht="12.75">
      <c r="A4" s="433" t="e">
        <f>Divident_all!#REF!</f>
        <v>#REF!</v>
      </c>
      <c r="B4" s="434">
        <f ca="1">IFERROR(__xludf.DUMMYFUNCTION("Divident_all!L14*GOOGLEFINANCE (""Currency:USDRON"")"),0.3934325375253)</f>
        <v>0.3934325375253</v>
      </c>
      <c r="C4" s="435">
        <v>0.28999999999999998</v>
      </c>
      <c r="D4" s="46"/>
      <c r="E4" s="433" t="e">
        <f>Divident_all!#REF!</f>
        <v>#REF!</v>
      </c>
      <c r="F4" s="434">
        <f ca="1">IFERROR(__xludf.DUMMYFUNCTION("Divident_all!L58*GOOGLEFINANCE (""Currency:USDRON"")"),1.1500305097086)</f>
        <v>1.1500305097086001</v>
      </c>
      <c r="G4" s="435">
        <v>0.75</v>
      </c>
      <c r="H4" s="46"/>
      <c r="I4" s="433" t="e">
        <f>Divident_all!#REF!</f>
        <v>#REF!</v>
      </c>
      <c r="J4" s="434">
        <f ca="1">IFERROR(__xludf.DUMMYFUNCTION("Divident_all!L18*GOOGLEFINANCE (""Currency:USDRON"")"),0.496060317452699)</f>
        <v>0.49606031745269902</v>
      </c>
      <c r="K4" s="435">
        <v>0.31</v>
      </c>
      <c r="L4" s="46"/>
      <c r="M4" s="433" t="e">
        <f>Divident_all!#REF!</f>
        <v>#REF!</v>
      </c>
      <c r="N4" s="434">
        <f ca="1">IFERROR(__xludf.DUMMYFUNCTION("GOOGLEFINANCE (""Currency:USDRON"")*Divident_all!L9"),0.645408756485999)</f>
        <v>0.64540875648599905</v>
      </c>
      <c r="O4" s="435">
        <v>0.65</v>
      </c>
      <c r="P4" s="46"/>
      <c r="Q4" s="433" t="e">
        <f>Divident_all!#REF!</f>
        <v>#REF!</v>
      </c>
      <c r="R4" s="434">
        <f ca="1">IFERROR(__xludf.DUMMYFUNCTION("GOOGLEFINANCE (""Currency:USDRON"")*Divident_all!L11"),1.12867122986279)</f>
        <v>1.1286712298627899</v>
      </c>
      <c r="S4" s="434"/>
      <c r="T4" s="46"/>
      <c r="U4" s="433" t="str">
        <f>Divident_all!B3</f>
        <v>AMD</v>
      </c>
      <c r="V4" s="434">
        <f ca="1">IFERROR(__xludf.DUMMYFUNCTION("Divident_all!L3*GOOGLEFINANCE (""Currency:USDRON"")"),2.54860214383124)</f>
        <v>2.5486021438312401</v>
      </c>
      <c r="W4" s="434"/>
      <c r="X4" s="46"/>
      <c r="Y4" s="433" t="e">
        <f>Divident_all!#REF!</f>
        <v>#REF!</v>
      </c>
      <c r="Z4" s="434">
        <f ca="1">IFERROR(__xludf.DUMMYFUNCTION("GOOGLEFINANCE (""Currency:USDRON"")*Divident_all!L9"),0.645408756485999)</f>
        <v>0.64540875648599905</v>
      </c>
      <c r="AA4" s="434"/>
      <c r="AB4" s="46"/>
      <c r="AC4" s="433" t="e">
        <f>Divident_all!#REF!</f>
        <v>#REF!</v>
      </c>
      <c r="AD4" s="434">
        <f ca="1">IFERROR(__xludf.DUMMYFUNCTION("GOOGLEFINANCE (""Currency:USDRON"")*Divident_all!L11"),1.12867122986279)</f>
        <v>1.1286712298627899</v>
      </c>
      <c r="AE4" s="436"/>
      <c r="AF4" s="161"/>
      <c r="AG4" s="433" t="str">
        <f>Divident_all!B3</f>
        <v>AMD</v>
      </c>
      <c r="AH4" s="434">
        <f ca="1">IFERROR(__xludf.DUMMYFUNCTION("Divident_all!L3*GOOGLEFINANCE (""Currency:USDRON"")"),2.54860214383124)</f>
        <v>2.5486021438312401</v>
      </c>
      <c r="AI4" s="436"/>
      <c r="AJ4" s="161"/>
      <c r="AK4" s="433" t="e">
        <f>Divident_all!#REF!</f>
        <v>#REF!</v>
      </c>
      <c r="AL4" s="434">
        <f ca="1">IFERROR(__xludf.DUMMYFUNCTION("GOOGLEFINANCE (""Currency:USDRON"")*Divident_all!L9"),0.645408756485999)</f>
        <v>0.64540875648599905</v>
      </c>
      <c r="AM4" s="436"/>
      <c r="AN4" s="161"/>
      <c r="AO4" s="433" t="e">
        <f>Divident_all!#REF!</f>
        <v>#REF!</v>
      </c>
      <c r="AP4" s="434">
        <f ca="1">IFERROR(__xludf.DUMMYFUNCTION("GOOGLEFINANCE (""Currency:USDRON"")*Divident_all!L11"),1.12867122986279)</f>
        <v>1.1286712298627899</v>
      </c>
      <c r="AQ4" s="436"/>
      <c r="AR4" s="161"/>
      <c r="AS4" s="437" t="str">
        <f>Divident_all!B3</f>
        <v>AMD</v>
      </c>
      <c r="AT4" s="438">
        <f ca="1">IFERROR(__xludf.DUMMYFUNCTION("Divident_all!L3*GOOGLEFINANCE (""Currency:USDRON"")"),2.54860214383124)</f>
        <v>2.5486021438312401</v>
      </c>
      <c r="AU4" s="436"/>
      <c r="AV4" s="161"/>
      <c r="AW4" s="166"/>
    </row>
    <row r="5" spans="1:49" ht="12.75">
      <c r="A5" s="433" t="e">
        <f>Divident_all!#REF!</f>
        <v>#REF!</v>
      </c>
      <c r="B5" s="434">
        <f ca="1">IFERROR(__xludf.DUMMYFUNCTION("Divident_all!L10*GOOGLEFINANCE (""Currency:USDRON"")"),2.07630351052019)</f>
        <v>2.0763035105201899</v>
      </c>
      <c r="C5" s="435">
        <v>1.5</v>
      </c>
      <c r="D5" s="46"/>
      <c r="E5" s="433" t="e">
        <f>Divident_all!#REF!</f>
        <v>#REF!</v>
      </c>
      <c r="F5" s="434">
        <f ca="1">IFERROR(__xludf.DUMMYFUNCTION("Divident_all!L57*GOOGLEFINANCE (""Currency:USDRON"")"),1.39330241422514)</f>
        <v>1.39330241422514</v>
      </c>
      <c r="G5" s="435">
        <v>0.93</v>
      </c>
      <c r="H5" s="46"/>
      <c r="I5" s="433" t="e">
        <f>Divident_all!#REF!</f>
        <v>#REF!</v>
      </c>
      <c r="J5" s="434">
        <f ca="1">IFERROR(__xludf.DUMMYFUNCTION("Divident_all!L51*GOOGLEFINANCE (""Currency:USDRON"")"),0.177436408537439)</f>
        <v>0.177436408537439</v>
      </c>
      <c r="K5" s="435">
        <v>0.18</v>
      </c>
      <c r="L5" s="46"/>
      <c r="M5" s="433" t="e">
        <f>Divident_all!#REF!</f>
        <v>#REF!</v>
      </c>
      <c r="N5" s="434">
        <f ca="1">IFERROR(__xludf.DUMMYFUNCTION("GOOGLEFINANCE (""Currency:USDRON"")*Divident_all!L10"),2.07630351052019)</f>
        <v>2.0763035105201899</v>
      </c>
      <c r="O5" s="434"/>
      <c r="P5" s="46"/>
      <c r="Q5" s="433" t="e">
        <f>Divident_all!#REF!</f>
        <v>#REF!</v>
      </c>
      <c r="R5" s="434">
        <f ca="1">IFERROR(__xludf.DUMMYFUNCTION("GOOGLEFINANCE (""Currency:USDRON"")*Divident_all!L15"),0.4115798885952)</f>
        <v>0.41157988859520001</v>
      </c>
      <c r="S5" s="434"/>
      <c r="T5" s="46"/>
      <c r="U5" s="433" t="e">
        <f>Divident_all!#REF!</f>
        <v>#REF!</v>
      </c>
      <c r="V5" s="434">
        <f ca="1">IFERROR(__xludf.DUMMYFUNCTION("Divident_all!L4*GOOGLEFINANCE (""Currency:USDRON"")"),0.53949673681488)</f>
        <v>0.53949673681487997</v>
      </c>
      <c r="W5" s="434"/>
      <c r="X5" s="46"/>
      <c r="Y5" s="433" t="e">
        <f>Divident_all!#REF!</f>
        <v>#REF!</v>
      </c>
      <c r="Z5" s="434">
        <f ca="1">IFERROR(__xludf.DUMMYFUNCTION("GOOGLEFINANCE (""Currency:USDRON"")*Divident_all!L10"),2.07630351052019)</f>
        <v>2.0763035105201899</v>
      </c>
      <c r="AA5" s="434"/>
      <c r="AB5" s="46"/>
      <c r="AC5" s="433" t="e">
        <f>Divident_all!#REF!</f>
        <v>#REF!</v>
      </c>
      <c r="AD5" s="434">
        <f ca="1">IFERROR(__xludf.DUMMYFUNCTION("GOOGLEFINANCE (""Currency:USDRON"")*Divident_all!L15"),0.4115798885952)</f>
        <v>0.41157988859520001</v>
      </c>
      <c r="AE5" s="436"/>
      <c r="AF5" s="161"/>
      <c r="AG5" s="433" t="e">
        <f>Divident_all!#REF!</f>
        <v>#REF!</v>
      </c>
      <c r="AH5" s="434">
        <f ca="1">IFERROR(__xludf.DUMMYFUNCTION("Divident_all!L4*GOOGLEFINANCE (""Currency:USDRON"")"),0.53949673681488)</f>
        <v>0.53949673681487997</v>
      </c>
      <c r="AI5" s="436"/>
      <c r="AJ5" s="161"/>
      <c r="AK5" s="433" t="e">
        <f>Divident_all!#REF!</f>
        <v>#REF!</v>
      </c>
      <c r="AL5" s="434">
        <f ca="1">IFERROR(__xludf.DUMMYFUNCTION("GOOGLEFINANCE (""Currency:USDRON"")*Divident_all!L10"),2.07630351052019)</f>
        <v>2.0763035105201899</v>
      </c>
      <c r="AM5" s="436"/>
      <c r="AN5" s="161"/>
      <c r="AO5" s="433" t="e">
        <f>Divident_all!#REF!</f>
        <v>#REF!</v>
      </c>
      <c r="AP5" s="434">
        <f ca="1">IFERROR(__xludf.DUMMYFUNCTION("GOOGLEFINANCE (""Currency:USDRON"")*Divident_all!L15"),0.4115798885952)</f>
        <v>0.41157988859520001</v>
      </c>
      <c r="AQ5" s="436"/>
      <c r="AR5" s="161"/>
      <c r="AS5" s="437" t="e">
        <f>Divident_all!#REF!</f>
        <v>#REF!</v>
      </c>
      <c r="AT5" s="438">
        <f ca="1">IFERROR(__xludf.DUMMYFUNCTION("Divident_all!L4*GOOGLEFINANCE (""Currency:USDRON"")"),0.53949673681488)</f>
        <v>0.53949673681487997</v>
      </c>
      <c r="AU5" s="436"/>
      <c r="AV5" s="161"/>
      <c r="AW5" s="166"/>
    </row>
    <row r="6" spans="1:49" ht="12.75">
      <c r="A6" s="433" t="e">
        <f>Divident_all!#REF!</f>
        <v>#REF!</v>
      </c>
      <c r="B6" s="434">
        <f ca="1">IFERROR(__xludf.DUMMYFUNCTION("Divident_all!L50*GOOGLEFINANCE (""Currency:USDRON"")"),0.268266734877913)</f>
        <v>0.26826673487791303</v>
      </c>
      <c r="C6" s="435">
        <v>0.21</v>
      </c>
      <c r="D6" s="46"/>
      <c r="E6" s="433" t="e">
        <f>Divident_all!#REF!</f>
        <v>#REF!</v>
      </c>
      <c r="F6" s="434">
        <f ca="1">IFERROR(__xludf.DUMMYFUNCTION("Divident_all!L11*GOOGLEFINANCE (""Currency:USDRON"")"),1.12867122986279)</f>
        <v>1.1286712298627899</v>
      </c>
      <c r="G6" s="435">
        <v>0.74</v>
      </c>
      <c r="H6" s="46"/>
      <c r="I6" s="433" t="str">
        <f>Divident_all!B3</f>
        <v>AMD</v>
      </c>
      <c r="J6" s="434">
        <f ca="1">IFERROR(__xludf.DUMMYFUNCTION("Divident_all!L3*GOOGLEFINANCE (""Currency:USDRON"")"),2.54860214383124)</f>
        <v>2.5486021438312401</v>
      </c>
      <c r="K6" s="435">
        <v>2.58</v>
      </c>
      <c r="L6" s="46"/>
      <c r="M6" s="433" t="e">
        <f>Divident_all!#REF!</f>
        <v>#REF!</v>
      </c>
      <c r="N6" s="434">
        <f ca="1">IFERROR(__xludf.DUMMYFUNCTION("GOOGLEFINANCE (""Currency:USDRON"")*Divident_all!L28"),0.560029395275999)</f>
        <v>0.56002939527599904</v>
      </c>
      <c r="O6" s="434"/>
      <c r="P6" s="46"/>
      <c r="Q6" s="433" t="e">
        <f>Divident_all!#REF!</f>
        <v>#REF!</v>
      </c>
      <c r="R6" s="434">
        <f ca="1">IFERROR(__xludf.DUMMYFUNCTION("GOOGLEFINANCE (""Currency:USDRON"")*Divident_all!L16"),0.457734032928537)</f>
        <v>0.45773403292853698</v>
      </c>
      <c r="S6" s="434"/>
      <c r="T6" s="46"/>
      <c r="U6" s="433" t="e">
        <f>Divident_all!#REF!</f>
        <v>#REF!</v>
      </c>
      <c r="V6" s="434">
        <f ca="1">IFERROR(__xludf.DUMMYFUNCTION("Divident_all!L7*GOOGLEFINANCE (""Currency:USDRON"")"),1.25157277573379)</f>
        <v>1.25157277573379</v>
      </c>
      <c r="W6" s="434"/>
      <c r="X6" s="46"/>
      <c r="Y6" s="433" t="e">
        <f>Divident_all!#REF!</f>
        <v>#REF!</v>
      </c>
      <c r="Z6" s="434">
        <f ca="1">IFERROR(__xludf.DUMMYFUNCTION("GOOGLEFINANCE (""Currency:USDRON"")*Divident_all!L28"),0.560029395275999)</f>
        <v>0.56002939527599904</v>
      </c>
      <c r="AA6" s="434"/>
      <c r="AB6" s="46"/>
      <c r="AC6" s="433" t="e">
        <f>Divident_all!#REF!</f>
        <v>#REF!</v>
      </c>
      <c r="AD6" s="434">
        <f ca="1">IFERROR(__xludf.DUMMYFUNCTION("GOOGLEFINANCE (""Currency:USDRON"")*Divident_all!L16"),0.457734032928537)</f>
        <v>0.45773403292853698</v>
      </c>
      <c r="AE6" s="436"/>
      <c r="AF6" s="161"/>
      <c r="AG6" s="433" t="e">
        <f>Divident_all!#REF!</f>
        <v>#REF!</v>
      </c>
      <c r="AH6" s="434">
        <f ca="1">IFERROR(__xludf.DUMMYFUNCTION("Divident_all!L7*GOOGLEFINANCE (""Currency:USDRON"")"),1.25157277573379)</f>
        <v>1.25157277573379</v>
      </c>
      <c r="AI6" s="436"/>
      <c r="AJ6" s="161"/>
      <c r="AK6" s="433" t="e">
        <f>Divident_all!#REF!</f>
        <v>#REF!</v>
      </c>
      <c r="AL6" s="434">
        <f ca="1">IFERROR(__xludf.DUMMYFUNCTION("GOOGLEFINANCE (""Currency:USDRON"")*Divident_all!L28"),0.560029395275999)</f>
        <v>0.56002939527599904</v>
      </c>
      <c r="AM6" s="436"/>
      <c r="AN6" s="161"/>
      <c r="AO6" s="433" t="e">
        <f>Divident_all!#REF!</f>
        <v>#REF!</v>
      </c>
      <c r="AP6" s="434">
        <f ca="1">IFERROR(__xludf.DUMMYFUNCTION("GOOGLEFINANCE (""Currency:USDRON"")*Divident_all!L16"),0.457734032928537)</f>
        <v>0.45773403292853698</v>
      </c>
      <c r="AQ6" s="436"/>
      <c r="AR6" s="161"/>
      <c r="AS6" s="437" t="e">
        <f>Divident_all!#REF!</f>
        <v>#REF!</v>
      </c>
      <c r="AT6" s="438">
        <f ca="1">IFERROR(__xludf.DUMMYFUNCTION("Divident_all!L7*GOOGLEFINANCE (""Currency:USDRON"")"),1.25157277573379)</f>
        <v>1.25157277573379</v>
      </c>
      <c r="AU6" s="436"/>
      <c r="AV6" s="161"/>
      <c r="AW6" s="166"/>
    </row>
    <row r="7" spans="1:49" ht="12.75">
      <c r="A7" s="433"/>
      <c r="B7" s="434"/>
      <c r="C7" s="434"/>
      <c r="D7" s="46"/>
      <c r="E7" s="433" t="e">
        <f>Divident_all!#REF!</f>
        <v>#REF!</v>
      </c>
      <c r="F7" s="434">
        <f ca="1">IFERROR(__xludf.DUMMYFUNCTION("Divident_all!L38*GOOGLEFINANCE (""Currency:USDRON"")"),0.152796759716249)</f>
        <v>0.15279675971624901</v>
      </c>
      <c r="G7" s="435">
        <v>0.12</v>
      </c>
      <c r="H7" s="46"/>
      <c r="I7" s="433" t="e">
        <f>Divident_all!#REF!</f>
        <v>#REF!</v>
      </c>
      <c r="J7" s="434">
        <f ca="1">IFERROR(__xludf.DUMMYFUNCTION("Divident_all!L4*GOOGLEFINANCE (""Currency:USDRON"")"),0.53949673681488)</f>
        <v>0.53949673681487997</v>
      </c>
      <c r="K7" s="435">
        <v>0.56000000000000005</v>
      </c>
      <c r="L7" s="46"/>
      <c r="M7" s="433" t="e">
        <f>Divident_all!#REF!</f>
        <v>#REF!</v>
      </c>
      <c r="N7" s="434">
        <f ca="1">IFERROR(__xludf.DUMMYFUNCTION("GOOGLEFINANCE (""Currency:USDRON"")*Divident_all!L40"),2.02117396112774)</f>
        <v>2.0211739611277402</v>
      </c>
      <c r="O7" s="435"/>
      <c r="P7" s="46"/>
      <c r="Q7" s="433" t="e">
        <f>Divident_all!#REF!</f>
        <v>#REF!</v>
      </c>
      <c r="R7" s="434">
        <f ca="1">IFERROR(__xludf.DUMMYFUNCTION("GOOGLEFINANCE (""Currency:USDRON"")*Divident_all!L18"),0.496060317452699)</f>
        <v>0.49606031745269902</v>
      </c>
      <c r="S7" s="434"/>
      <c r="T7" s="46"/>
      <c r="U7" s="433" t="e">
        <f>Divident_all!#REF!</f>
        <v>#REF!</v>
      </c>
      <c r="V7" s="434">
        <f ca="1">IFERROR(__xludf.DUMMYFUNCTION("Divident_all!L8*GOOGLEFINANCE (""Currency:USDRON"")"),0.100023056193059)</f>
        <v>0.100023056193059</v>
      </c>
      <c r="W7" s="434"/>
      <c r="X7" s="46"/>
      <c r="Y7" s="433" t="e">
        <f>Divident_all!#REF!</f>
        <v>#REF!</v>
      </c>
      <c r="Z7" s="434">
        <f ca="1">IFERROR(__xludf.DUMMYFUNCTION("GOOGLEFINANCE (""Currency:USDRON"")*Divident_all!L40"),2.02117396112774)</f>
        <v>2.0211739611277402</v>
      </c>
      <c r="AA7" s="434"/>
      <c r="AB7" s="46"/>
      <c r="AC7" s="433" t="e">
        <f>Divident_all!#REF!</f>
        <v>#REF!</v>
      </c>
      <c r="AD7" s="434">
        <f ca="1">IFERROR(__xludf.DUMMYFUNCTION("GOOGLEFINANCE (""Currency:USDRON"")*Divident_all!L18"),0.496060317452699)</f>
        <v>0.49606031745269902</v>
      </c>
      <c r="AE7" s="436"/>
      <c r="AF7" s="161"/>
      <c r="AG7" s="433" t="e">
        <f>Divident_all!#REF!</f>
        <v>#REF!</v>
      </c>
      <c r="AH7" s="434">
        <f ca="1">IFERROR(__xludf.DUMMYFUNCTION("Divident_all!L8*GOOGLEFINANCE (""Currency:USDRON"")"),0.100023056193059)</f>
        <v>0.100023056193059</v>
      </c>
      <c r="AI7" s="436"/>
      <c r="AJ7" s="161"/>
      <c r="AK7" s="433" t="e">
        <f>Divident_all!#REF!</f>
        <v>#REF!</v>
      </c>
      <c r="AL7" s="434">
        <f ca="1">IFERROR(__xludf.DUMMYFUNCTION("GOOGLEFINANCE (""Currency:USDRON"")*Divident_all!L40"),2.02117396112774)</f>
        <v>2.0211739611277402</v>
      </c>
      <c r="AM7" s="436"/>
      <c r="AN7" s="161"/>
      <c r="AO7" s="437" t="e">
        <f>Divident_all!#REF!</f>
        <v>#REF!</v>
      </c>
      <c r="AP7" s="438">
        <f ca="1">IFERROR(__xludf.DUMMYFUNCTION("GOOGLEFINANCE (""Currency:USDRON"")*Divident_all!L18"),0.496060317452699)</f>
        <v>0.49606031745269902</v>
      </c>
      <c r="AQ7" s="436"/>
      <c r="AR7" s="161"/>
      <c r="AS7" s="437" t="e">
        <f>Divident_all!#REF!</f>
        <v>#REF!</v>
      </c>
      <c r="AT7" s="438">
        <f ca="1">IFERROR(__xludf.DUMMYFUNCTION("Divident_all!L8*GOOGLEFINANCE (""Currency:USDRON"")"),0.100023056193059)</f>
        <v>0.100023056193059</v>
      </c>
      <c r="AU7" s="436"/>
      <c r="AV7" s="161"/>
      <c r="AW7" s="166"/>
    </row>
    <row r="8" spans="1:49" ht="12.75">
      <c r="A8" s="433" t="e">
        <f>Divident_all!#REF!</f>
        <v>#REF!</v>
      </c>
      <c r="B8" s="434">
        <f ca="1">IFERROR(__xludf.DUMMYFUNCTION("Divident_all!L40*GOOGLEFINANCE (""Currency:USDRON"")"),2.02117396112774)</f>
        <v>2.0211739611277402</v>
      </c>
      <c r="C8" s="435">
        <v>0.77</v>
      </c>
      <c r="D8" s="46"/>
      <c r="E8" s="433" t="e">
        <f>Divident_all!#REF!</f>
        <v>#REF!</v>
      </c>
      <c r="F8" s="434">
        <f ca="1">IFERROR(__xludf.DUMMYFUNCTION("Divident_all!L37*GOOGLEFINANCE (""Currency:USDRON"")"),0.34223892046344)</f>
        <v>0.34223892046344001</v>
      </c>
      <c r="G8" s="435">
        <v>0.26</v>
      </c>
      <c r="H8" s="46"/>
      <c r="I8" s="433" t="e">
        <f>Divident_all!#REF!</f>
        <v>#REF!</v>
      </c>
      <c r="J8" s="434">
        <f ca="1">IFERROR(__xludf.DUMMYFUNCTION("Divident_all!L7*GOOGLEFINANCE (""Currency:USDRON"")"),1.25157277573379)</f>
        <v>1.25157277573379</v>
      </c>
      <c r="K8" s="435">
        <v>1.29</v>
      </c>
      <c r="L8" s="46"/>
      <c r="M8" s="433" t="e">
        <f>Divident_all!#REF!</f>
        <v>#REF!</v>
      </c>
      <c r="N8" s="434">
        <f ca="1">IFERROR(__xludf.DUMMYFUNCTION("GOOGLEFINANCE (""Currency:USDRON"")*Divident_all!L43"),0.800378449055639)</f>
        <v>0.80037844905563904</v>
      </c>
      <c r="O8" s="435"/>
      <c r="P8" s="46"/>
      <c r="Q8" s="433" t="e">
        <f>Divident_all!#REF!</f>
        <v>#REF!</v>
      </c>
      <c r="R8" s="434">
        <f ca="1">IFERROR(__xludf.DUMMYFUNCTION("GOOGLEFINANCE (""Currency:USDRON"")*Divident_all!L21"),0.7290729264546)</f>
        <v>0.72907292645459998</v>
      </c>
      <c r="S8" s="435"/>
      <c r="T8" s="46"/>
      <c r="U8" s="433" t="e">
        <f>Divident_all!#REF!</f>
        <v>#REF!</v>
      </c>
      <c r="V8" s="434">
        <f ca="1">IFERROR(__xludf.DUMMYFUNCTION("GOOGLEFINANCE (""Currency:USDRON"")*Divident_all!L14"),0.3934325375253)</f>
        <v>0.3934325375253</v>
      </c>
      <c r="W8" s="435"/>
      <c r="X8" s="46"/>
      <c r="Y8" s="433" t="e">
        <f>Divident_all!#REF!</f>
        <v>#REF!</v>
      </c>
      <c r="Z8" s="434">
        <f ca="1">IFERROR(__xludf.DUMMYFUNCTION("GOOGLEFINANCE (""Currency:USDRON"")*Divident_all!L43"),0.800378449055639)</f>
        <v>0.80037844905563904</v>
      </c>
      <c r="AA8" s="435"/>
      <c r="AB8" s="46"/>
      <c r="AC8" s="433" t="e">
        <f>Divident_all!#REF!</f>
        <v>#REF!</v>
      </c>
      <c r="AD8" s="434">
        <f ca="1">IFERROR(__xludf.DUMMYFUNCTION("GOOGLEFINANCE (""Currency:USDRON"")*Divident_all!L21"),0.7290729264546)</f>
        <v>0.72907292645459998</v>
      </c>
      <c r="AE8" s="436"/>
      <c r="AF8" s="161"/>
      <c r="AG8" s="433" t="e">
        <f>Divident_all!#REF!</f>
        <v>#REF!</v>
      </c>
      <c r="AH8" s="434">
        <f ca="1">IFERROR(__xludf.DUMMYFUNCTION("GOOGLEFINANCE (""Currency:USDRON"")*Divident_all!L14"),0.3934325375253)</f>
        <v>0.3934325375253</v>
      </c>
      <c r="AI8" s="436"/>
      <c r="AJ8" s="161"/>
      <c r="AK8" s="433" t="e">
        <f>Divident_all!#REF!</f>
        <v>#REF!</v>
      </c>
      <c r="AL8" s="434">
        <f ca="1">IFERROR(__xludf.DUMMYFUNCTION("GOOGLEFINANCE (""Currency:USDRON"")*Divident_all!L43"),0.800378449055639)</f>
        <v>0.80037844905563904</v>
      </c>
      <c r="AM8" s="436"/>
      <c r="AN8" s="161"/>
      <c r="AO8" s="437" t="e">
        <f>Divident_all!#REF!</f>
        <v>#REF!</v>
      </c>
      <c r="AP8" s="438">
        <f ca="1">IFERROR(__xludf.DUMMYFUNCTION("GOOGLEFINANCE (""Currency:USDRON"")*Divident_all!L21"),0.7290729264546)</f>
        <v>0.72907292645459998</v>
      </c>
      <c r="AQ8" s="436"/>
      <c r="AR8" s="161"/>
      <c r="AS8" s="437" t="e">
        <f>Divident_all!#REF!</f>
        <v>#REF!</v>
      </c>
      <c r="AT8" s="438">
        <f ca="1">IFERROR(__xludf.DUMMYFUNCTION("Divident_all!L9*GOOGLEFINANCE (""Currency:USDRON"")"),0.645408756485999)</f>
        <v>0.64540875648599905</v>
      </c>
      <c r="AU8" s="436"/>
      <c r="AV8" s="161"/>
      <c r="AW8" s="166"/>
    </row>
    <row r="9" spans="1:49" ht="12.75">
      <c r="A9" s="433" t="e">
        <f>Divident_all!#REF!</f>
        <v>#REF!</v>
      </c>
      <c r="B9" s="434">
        <f ca="1">IFERROR(__xludf.DUMMYFUNCTION("Divident_all!L43*GOOGLEFINANCE (""Currency:USDRON"")"),0.800378449055639)</f>
        <v>0.80037844905563904</v>
      </c>
      <c r="C9" s="435">
        <v>0.59</v>
      </c>
      <c r="D9" s="46"/>
      <c r="E9" s="433" t="e">
        <f>Divident_all!#REF!</f>
        <v>#REF!</v>
      </c>
      <c r="F9" s="434">
        <f ca="1">IFERROR(__xludf.DUMMYFUNCTION("Divident_all!L64*GOOGLEFINANCE (""Currency:USDRON"")"),0.617584221686249)</f>
        <v>0.61758422168624905</v>
      </c>
      <c r="G9" s="435">
        <v>0.5</v>
      </c>
      <c r="H9" s="46"/>
      <c r="I9" s="433" t="e">
        <f>Divident_all!#REF!</f>
        <v>#REF!</v>
      </c>
      <c r="J9" s="434">
        <f ca="1">IFERROR(__xludf.DUMMYFUNCTION("Divident_all!L8*GOOGLEFINANCE (""Currency:USDRON"")"),0.100023056193059)</f>
        <v>0.100023056193059</v>
      </c>
      <c r="K9" s="435">
        <v>0.1</v>
      </c>
      <c r="L9" s="46"/>
      <c r="M9" s="433" t="e">
        <f>Divident_all!#REF!</f>
        <v>#REF!</v>
      </c>
      <c r="N9" s="434">
        <f ca="1">IFERROR(__xludf.DUMMYFUNCTION("GOOGLEFINANCE (""Currency:USDRON"")*Divident_all!L44"),0.7916458986306)</f>
        <v>0.79164589863059998</v>
      </c>
      <c r="O9" s="434"/>
      <c r="P9" s="46"/>
      <c r="Q9" s="433" t="e">
        <f>Divident_all!#REF!</f>
        <v>#REF!</v>
      </c>
      <c r="R9" s="434">
        <f ca="1">IFERROR(__xludf.DUMMYFUNCTION("GOOGLEFINANCE (""Currency:USDRON"")*Divident_all!L29"),1.43544875139899)</f>
        <v>1.43544875139899</v>
      </c>
      <c r="S9" s="434"/>
      <c r="T9" s="46"/>
      <c r="U9" s="433" t="e">
        <f>Divident_all!#REF!</f>
        <v>#REF!</v>
      </c>
      <c r="V9" s="434">
        <f ca="1">IFERROR(__xludf.DUMMYFUNCTION("GOOGLEFINANCE (""Currency:USDRON"")*Divident_all!L20"),0.360346285727999)</f>
        <v>0.36034628572799898</v>
      </c>
      <c r="W9" s="434"/>
      <c r="X9" s="46"/>
      <c r="Y9" s="433" t="e">
        <f>Divident_all!#REF!</f>
        <v>#REF!</v>
      </c>
      <c r="Z9" s="434">
        <f ca="1">IFERROR(__xludf.DUMMYFUNCTION("GOOGLEFINANCE (""Currency:USDRON"")*Divident_all!L44"),0.7916458986306)</f>
        <v>0.79164589863059998</v>
      </c>
      <c r="AA9" s="434"/>
      <c r="AB9" s="46"/>
      <c r="AC9" s="433" t="e">
        <f>Divident_all!#REF!</f>
        <v>#REF!</v>
      </c>
      <c r="AD9" s="434">
        <f ca="1">IFERROR(__xludf.DUMMYFUNCTION("GOOGLEFINANCE (""Currency:USDRON"")*Divident_all!L29"),1.43544875139899)</f>
        <v>1.43544875139899</v>
      </c>
      <c r="AE9" s="436"/>
      <c r="AF9" s="161"/>
      <c r="AG9" s="433" t="e">
        <f>Divident_all!#REF!</f>
        <v>#REF!</v>
      </c>
      <c r="AH9" s="434">
        <f ca="1">IFERROR(__xludf.DUMMYFUNCTION("GOOGLEFINANCE (""Currency:USDRON"")*Divident_all!L20"),0.360346285727999)</f>
        <v>0.36034628572799898</v>
      </c>
      <c r="AI9" s="436"/>
      <c r="AJ9" s="161"/>
      <c r="AK9" s="433" t="e">
        <f>Divident_all!#REF!</f>
        <v>#REF!</v>
      </c>
      <c r="AL9" s="434">
        <f ca="1">IFERROR(__xludf.DUMMYFUNCTION("GOOGLEFINANCE (""Currency:USDRON"")*Divident_all!L44"),0.7916458986306)</f>
        <v>0.79164589863059998</v>
      </c>
      <c r="AM9" s="436"/>
      <c r="AN9" s="161"/>
      <c r="AO9" s="437" t="e">
        <f>Divident_all!#REF!</f>
        <v>#REF!</v>
      </c>
      <c r="AP9" s="438">
        <f ca="1">IFERROR(__xludf.DUMMYFUNCTION("GOOGLEFINANCE (""Currency:USDRON"")*Divident_all!L29"),1.43544875139899)</f>
        <v>1.43544875139899</v>
      </c>
      <c r="AQ9" s="436"/>
      <c r="AR9" s="161"/>
      <c r="AS9" s="437" t="e">
        <f>Divident_all!#REF!</f>
        <v>#REF!</v>
      </c>
      <c r="AT9" s="438">
        <f ca="1">IFERROR(__xludf.DUMMYFUNCTION("GOOGLEFINANCE (""Currency:USDRON"")*Divident_all!L20"),0.360346285727999)</f>
        <v>0.36034628572799898</v>
      </c>
      <c r="AU9" s="436"/>
      <c r="AV9" s="161"/>
      <c r="AW9" s="166"/>
    </row>
    <row r="10" spans="1:49" ht="12.75">
      <c r="A10" s="433" t="e">
        <f>Divident_all!#REF!</f>
        <v>#REF!</v>
      </c>
      <c r="B10" s="434">
        <f ca="1">IFERROR(__xludf.DUMMYFUNCTION("Divident_all!L44*GOOGLEFINANCE (""Currency:USDRON"")"),0.7916458986306)</f>
        <v>0.79164589863059998</v>
      </c>
      <c r="C10" s="435">
        <v>0.39</v>
      </c>
      <c r="E10" s="433" t="e">
        <f>Divident_all!#REF!</f>
        <v>#REF!</v>
      </c>
      <c r="F10" s="434">
        <f ca="1">IFERROR(__xludf.DUMMYFUNCTION("Divident_all!L56*GOOGLEFINANCE (""Currency:USDRON"")"),0.733284937190519)</f>
        <v>0.73328493719051902</v>
      </c>
      <c r="G10" s="435">
        <v>0.54</v>
      </c>
      <c r="I10" s="433" t="e">
        <f>Divident_all!#REF!</f>
        <v>#REF!</v>
      </c>
      <c r="J10" s="434">
        <f ca="1">IFERROR(__xludf.DUMMYFUNCTION("GOOGLEFINANCE (""Currency:USDRON"")*Divident_all!L14"),0.3934325375253)</f>
        <v>0.3934325375253</v>
      </c>
      <c r="K10" s="435">
        <v>0.4</v>
      </c>
      <c r="M10" s="433" t="e">
        <f>Divident_all!#REF!</f>
        <v>#REF!</v>
      </c>
      <c r="N10" s="434">
        <f ca="1">IFERROR(__xludf.DUMMYFUNCTION("GOOGLEFINANCE (""Currency:USDRON"")*Divident_all!L47"),3.35454939892799)</f>
        <v>3.3545493989279902</v>
      </c>
      <c r="O10" s="434"/>
      <c r="P10" s="46"/>
      <c r="Q10" s="433" t="e">
        <f>Divident_all!#REF!</f>
        <v>#REF!</v>
      </c>
      <c r="R10" s="434">
        <f ca="1">IFERROR(__xludf.DUMMYFUNCTION("GOOGLEFINANCE (""Currency:USDRON"")*Divident_all!L37"),0.34223892046344)</f>
        <v>0.34223892046344001</v>
      </c>
      <c r="S10" s="434"/>
      <c r="T10" s="46"/>
      <c r="U10" s="433" t="e">
        <f>Divident_all!#REF!</f>
        <v>#REF!</v>
      </c>
      <c r="V10" s="434">
        <f ca="1">IFERROR(__xludf.DUMMYFUNCTION("GOOGLEFINANCE (""Currency:USDRON"")*Divident_all!L23"),0.40851236334168)</f>
        <v>0.40851236334168001</v>
      </c>
      <c r="W10" s="434"/>
      <c r="X10" s="46"/>
      <c r="Y10" s="433" t="e">
        <f>Divident_all!#REF!</f>
        <v>#REF!</v>
      </c>
      <c r="Z10" s="434">
        <f ca="1">IFERROR(__xludf.DUMMYFUNCTION("GOOGLEFINANCE (""Currency:USDRON"")*Divident_all!L47"),3.35454939892799)</f>
        <v>3.3545493989279902</v>
      </c>
      <c r="AA10" s="434"/>
      <c r="AB10" s="46"/>
      <c r="AC10" s="433" t="e">
        <f>Divident_all!#REF!</f>
        <v>#REF!</v>
      </c>
      <c r="AD10" s="434">
        <f ca="1">IFERROR(__xludf.DUMMYFUNCTION("GOOGLEFINANCE (""Currency:USDRON"")*Divident_all!L37"),0.34223892046344)</f>
        <v>0.34223892046344001</v>
      </c>
      <c r="AE10" s="436"/>
      <c r="AF10" s="161"/>
      <c r="AG10" s="433" t="e">
        <f>Divident_all!#REF!</f>
        <v>#REF!</v>
      </c>
      <c r="AH10" s="434">
        <f ca="1">IFERROR(__xludf.DUMMYFUNCTION("GOOGLEFINANCE (""Currency:USDRON"")*Divident_all!L23"),0.40851236334168)</f>
        <v>0.40851236334168001</v>
      </c>
      <c r="AI10" s="436"/>
      <c r="AJ10" s="161"/>
      <c r="AK10" s="433" t="e">
        <f>Divident_all!#REF!</f>
        <v>#REF!</v>
      </c>
      <c r="AL10" s="434">
        <f ca="1">IFERROR(__xludf.DUMMYFUNCTION("GOOGLEFINANCE (""Currency:USDRON"")*Divident_all!L47"),3.35454939892799)</f>
        <v>3.3545493989279902</v>
      </c>
      <c r="AM10" s="436"/>
      <c r="AN10" s="161"/>
      <c r="AO10" s="437" t="e">
        <f>Divident_all!#REF!</f>
        <v>#REF!</v>
      </c>
      <c r="AP10" s="438">
        <f ca="1">IFERROR(__xludf.DUMMYFUNCTION("GOOGLEFINANCE (""Currency:USDRON"")*Divident_all!L37"),0.34223892046344)</f>
        <v>0.34223892046344001</v>
      </c>
      <c r="AQ10" s="436"/>
      <c r="AR10" s="161"/>
      <c r="AS10" s="437" t="e">
        <f>Divident_all!#REF!</f>
        <v>#REF!</v>
      </c>
      <c r="AT10" s="438">
        <f ca="1">IFERROR(__xludf.DUMMYFUNCTION("GOOGLEFINANCE (""Currency:USDRON"")*Divident_all!L23"),0.40851236334168)</f>
        <v>0.40851236334168001</v>
      </c>
      <c r="AU10" s="436"/>
      <c r="AV10" s="161"/>
      <c r="AW10" s="166"/>
    </row>
    <row r="11" spans="1:49" ht="12.75">
      <c r="A11" s="433" t="e">
        <f>Divident_all!#REF!</f>
        <v>#REF!</v>
      </c>
      <c r="B11" s="434">
        <f ca="1">IFERROR(__xludf.DUMMYFUNCTION("Divident_all!L28*GOOGLEFINANCE (""Currency:USDRON"")"),0.560029395275999)</f>
        <v>0.56002939527599904</v>
      </c>
      <c r="C11" s="435">
        <v>0.39</v>
      </c>
      <c r="E11" s="433" t="e">
        <f>Divident_all!#REF!</f>
        <v>#REF!</v>
      </c>
      <c r="F11" s="434">
        <f ca="1">IFERROR(__xludf.DUMMYFUNCTION("Divident_all!L39*GOOGLEFINANCE (""Currency:USDRON"")"),0.284660913934799)</f>
        <v>0.28466091393479898</v>
      </c>
      <c r="G11" s="435">
        <v>0.22</v>
      </c>
      <c r="I11" s="433" t="e">
        <f>Divident_all!#REF!</f>
        <v>#REF!</v>
      </c>
      <c r="J11" s="434">
        <f ca="1">IFERROR(__xludf.DUMMYFUNCTION("GOOGLEFINANCE (""Currency:USDRON"")*Divident_all!L20"),0.360346285727999)</f>
        <v>0.36034628572799898</v>
      </c>
      <c r="K11" s="435">
        <v>0.36</v>
      </c>
      <c r="M11" s="433" t="e">
        <f>Divident_all!#REF!</f>
        <v>#REF!</v>
      </c>
      <c r="N11" s="434">
        <f ca="1">IFERROR(__xludf.DUMMYFUNCTION("GOOGLEFINANCE (""Currency:USDRON"")*Divident_all!L50"),0.268266734877913)</f>
        <v>0.26826673487791303</v>
      </c>
      <c r="O11" s="434"/>
      <c r="P11" s="46"/>
      <c r="Q11" s="433" t="e">
        <f>Divident_all!#REF!</f>
        <v>#REF!</v>
      </c>
      <c r="R11" s="434">
        <f ca="1">IFERROR(__xludf.DUMMYFUNCTION("GOOGLEFINANCE (""Currency:USDRON"")*Divident_all!L38"),0.152796759716249)</f>
        <v>0.15279675971624901</v>
      </c>
      <c r="S11" s="434"/>
      <c r="T11" s="46"/>
      <c r="U11" s="433" t="e">
        <f>Divident_all!#REF!</f>
        <v>#REF!</v>
      </c>
      <c r="V11" s="434">
        <f ca="1">IFERROR(__xludf.DUMMYFUNCTION("GOOGLEFINANCE (""Currency:USDRON"")*Divident_all!L26"),1.30909853295702)</f>
        <v>1.3090985329570199</v>
      </c>
      <c r="W11" s="434"/>
      <c r="X11" s="46"/>
      <c r="Y11" s="433" t="e">
        <f>Divident_all!#REF!</f>
        <v>#REF!</v>
      </c>
      <c r="Z11" s="434">
        <f ca="1">IFERROR(__xludf.DUMMYFUNCTION("GOOGLEFINANCE (""Currency:USDRON"")*Divident_all!L50"),0.268266734877913)</f>
        <v>0.26826673487791303</v>
      </c>
      <c r="AA11" s="434"/>
      <c r="AB11" s="46"/>
      <c r="AC11" s="433" t="e">
        <f>Divident_all!#REF!</f>
        <v>#REF!</v>
      </c>
      <c r="AD11" s="434">
        <f ca="1">IFERROR(__xludf.DUMMYFUNCTION("GOOGLEFINANCE (""Currency:USDRON"")*Divident_all!L38"),0.152796759716249)</f>
        <v>0.15279675971624901</v>
      </c>
      <c r="AE11" s="436"/>
      <c r="AF11" s="161"/>
      <c r="AG11" s="433" t="e">
        <f>Divident_all!#REF!</f>
        <v>#REF!</v>
      </c>
      <c r="AH11" s="434">
        <f ca="1">IFERROR(__xludf.DUMMYFUNCTION("GOOGLEFINANCE (""Currency:USDRON"")*Divident_all!L26"),1.30909853295702)</f>
        <v>1.3090985329570199</v>
      </c>
      <c r="AI11" s="436"/>
      <c r="AJ11" s="161"/>
      <c r="AK11" s="433" t="e">
        <f>Divident_all!#REF!</f>
        <v>#REF!</v>
      </c>
      <c r="AL11" s="434">
        <f ca="1">IFERROR(__xludf.DUMMYFUNCTION("GOOGLEFINANCE (""Currency:USDRON"")*Divident_all!L50"),0.268266734877913)</f>
        <v>0.26826673487791303</v>
      </c>
      <c r="AM11" s="436"/>
      <c r="AN11" s="161"/>
      <c r="AO11" s="437" t="e">
        <f>Divident_all!#REF!</f>
        <v>#REF!</v>
      </c>
      <c r="AP11" s="438">
        <f ca="1">IFERROR(__xludf.DUMMYFUNCTION("GOOGLEFINANCE (""Currency:USDRON"")*Divident_all!L38"),0.152796759716249)</f>
        <v>0.15279675971624901</v>
      </c>
      <c r="AQ11" s="436"/>
      <c r="AR11" s="161"/>
      <c r="AS11" s="437" t="e">
        <f>Divident_all!#REF!</f>
        <v>#REF!</v>
      </c>
      <c r="AT11" s="438">
        <f ca="1">IFERROR(__xludf.DUMMYFUNCTION("GOOGLEFINANCE (""Currency:USDRON"")*Divident_all!L26"),1.30909853295702)</f>
        <v>1.3090985329570199</v>
      </c>
      <c r="AU11" s="436"/>
      <c r="AV11" s="161"/>
      <c r="AW11" s="166"/>
    </row>
    <row r="12" spans="1:49" ht="12.75">
      <c r="A12" s="433" t="e">
        <f>Divident_all!#REF!</f>
        <v>#REF!</v>
      </c>
      <c r="B12" s="434">
        <f ca="1">IFERROR(__xludf.DUMMYFUNCTION("GOOGLEFINANCE (""Currency:USDRON"")*Divident_all!L12"),0.938418598178099)</f>
        <v>0.93841859817809903</v>
      </c>
      <c r="C12" s="435">
        <v>0.62</v>
      </c>
      <c r="E12" s="433" t="e">
        <f>Divident_all!#REF!</f>
        <v>#REF!</v>
      </c>
      <c r="F12" s="434">
        <f ca="1">IFERROR(__xludf.DUMMYFUNCTION("GOOGLEFINANCE (""Currency:USDRON"")*Divident_all!L15"),0.4115798885952)</f>
        <v>0.41157988859520001</v>
      </c>
      <c r="G12" s="435">
        <v>0.3</v>
      </c>
      <c r="I12" s="433" t="e">
        <f>Divident_all!#REF!</f>
        <v>#REF!</v>
      </c>
      <c r="J12" s="434">
        <f ca="1">IFERROR(__xludf.DUMMYFUNCTION("GOOGLEFINANCE (""Currency:USDRON"")*Divident_all!L23"),0.40851236334168)</f>
        <v>0.40851236334168001</v>
      </c>
      <c r="K12" s="435">
        <v>0.42</v>
      </c>
      <c r="M12" s="433" t="e">
        <f>Divident_all!#REF!</f>
        <v>#REF!</v>
      </c>
      <c r="N12" s="434">
        <f ca="1">IFERROR(__xludf.DUMMYFUNCTION("GOOGLEFINANCE (""Currency:USDRON"")*Divident_all!L12"),0.938418598178099)</f>
        <v>0.93841859817809903</v>
      </c>
      <c r="O12" s="435">
        <v>0.94</v>
      </c>
      <c r="P12" s="46"/>
      <c r="Q12" s="433" t="e">
        <f>Divident_all!#REF!</f>
        <v>#REF!</v>
      </c>
      <c r="R12" s="434">
        <f ca="1">IFERROR(__xludf.DUMMYFUNCTION("GOOGLEFINANCE (""Currency:USDRON"")*Divident_all!L39"),0.284660913934799)</f>
        <v>0.28466091393479898</v>
      </c>
      <c r="S12" s="434"/>
      <c r="T12" s="46"/>
      <c r="U12" s="433"/>
      <c r="V12" s="434"/>
      <c r="W12" s="434"/>
      <c r="X12" s="46"/>
      <c r="Y12" s="433" t="e">
        <f>Divident_all!#REF!</f>
        <v>#REF!</v>
      </c>
      <c r="Z12" s="434">
        <f ca="1">IFERROR(__xludf.DUMMYFUNCTION("GOOGLEFINANCE (""Currency:USDRON"")*Divident_all!L12"),0.938418598178099)</f>
        <v>0.93841859817809903</v>
      </c>
      <c r="AA12" s="434"/>
      <c r="AB12" s="46"/>
      <c r="AC12" s="433" t="e">
        <f>Divident_all!#REF!</f>
        <v>#REF!</v>
      </c>
      <c r="AD12" s="434">
        <f ca="1">IFERROR(__xludf.DUMMYFUNCTION("GOOGLEFINANCE (""Currency:USDRON"")*Divident_all!L39"),0.284660913934799)</f>
        <v>0.28466091393479898</v>
      </c>
      <c r="AE12" s="436"/>
      <c r="AF12" s="161"/>
      <c r="AG12" s="433"/>
      <c r="AH12" s="434"/>
      <c r="AI12" s="436"/>
      <c r="AJ12" s="161"/>
      <c r="AK12" s="433" t="e">
        <f>Divident_all!#REF!</f>
        <v>#REF!</v>
      </c>
      <c r="AL12" s="434">
        <f ca="1">IFERROR(__xludf.DUMMYFUNCTION("GOOGLEFINANCE (""Currency:USDRON"")*Divident_all!L12"),0.938418598178099)</f>
        <v>0.93841859817809903</v>
      </c>
      <c r="AM12" s="436"/>
      <c r="AN12" s="161"/>
      <c r="AO12" s="437" t="e">
        <f>Divident_all!#REF!</f>
        <v>#REF!</v>
      </c>
      <c r="AP12" s="438">
        <f ca="1">IFERROR(__xludf.DUMMYFUNCTION("GOOGLEFINANCE (""Currency:USDRON"")*Divident_all!L39"),0.284660913934799)</f>
        <v>0.28466091393479898</v>
      </c>
      <c r="AQ12" s="436"/>
      <c r="AR12" s="161"/>
      <c r="AS12" s="437"/>
      <c r="AT12" s="438"/>
      <c r="AU12" s="436"/>
      <c r="AV12" s="161"/>
      <c r="AW12" s="166"/>
    </row>
    <row r="13" spans="1:49" ht="12.75">
      <c r="A13" s="433" t="e">
        <f>Divident_all!#REF!</f>
        <v>#REF!</v>
      </c>
      <c r="B13" s="434">
        <f ca="1">IFERROR(__xludf.DUMMYFUNCTION("GOOGLEFINANCE (""Currency:USDRON"")*Divident_all!L5"),0.11260738512855)</f>
        <v>0.11260738512854999</v>
      </c>
      <c r="C13" s="435">
        <v>0.04</v>
      </c>
      <c r="E13" s="433" t="e">
        <f>Divident_all!#REF!</f>
        <v>#REF!</v>
      </c>
      <c r="F13" s="434">
        <f ca="1">IFERROR(__xludf.DUMMYFUNCTION("GOOGLEFINANCE (""Currency:USDRON"")*Divident_all!L16"),0.457734032928537)</f>
        <v>0.45773403292853698</v>
      </c>
      <c r="G13" s="435">
        <v>0.37</v>
      </c>
      <c r="I13" s="433" t="e">
        <f>Divident_all!#REF!</f>
        <v>#REF!</v>
      </c>
      <c r="J13" s="434">
        <f ca="1">IFERROR(__xludf.DUMMYFUNCTION("GOOGLEFINANCE (""Currency:USDRON"")*Divident_all!L26"),1.30909853295702)</f>
        <v>1.3090985329570199</v>
      </c>
      <c r="K13" s="435">
        <v>1.32</v>
      </c>
      <c r="M13" s="433" t="e">
        <f>Divident_all!#REF!</f>
        <v>#REF!</v>
      </c>
      <c r="N13" s="434">
        <f ca="1">IFERROR(__xludf.DUMMYFUNCTION("GOOGLEFINANCE (""Currency:EURRON"")*Divident_all!L6"),0.594145312064508)</f>
        <v>0.59414531206450805</v>
      </c>
      <c r="O13" s="435"/>
      <c r="P13" s="46"/>
      <c r="Q13" s="433" t="e">
        <f>Divident_all!#REF!</f>
        <v>#REF!</v>
      </c>
      <c r="R13" s="434">
        <f ca="1">IFERROR(__xludf.DUMMYFUNCTION("GOOGLEFINANCE (""Currency:USDRON"")*Divident_all!L40"),2.02117396112774)</f>
        <v>2.0211739611277402</v>
      </c>
      <c r="S13" s="434"/>
      <c r="T13" s="46"/>
      <c r="U13" s="433" t="e">
        <f>Divident_all!#REF!</f>
        <v>#REF!</v>
      </c>
      <c r="V13" s="434">
        <f ca="1">IFERROR(__xludf.DUMMYFUNCTION("GOOGLEFINANCE (""Currency:USDRON"")*Divident_all!L33"),0.195675402171014)</f>
        <v>0.19567540217101401</v>
      </c>
      <c r="W13" s="434"/>
      <c r="X13" s="46"/>
      <c r="Y13" s="433" t="e">
        <f>Divident_all!#REF!</f>
        <v>#REF!</v>
      </c>
      <c r="Z13" s="434">
        <f ca="1">IFERROR(__xludf.DUMMYFUNCTION("GOOGLEFINANCE (""Currency:USDRON"")*Divident_all!L5"),0.11260738512855)</f>
        <v>0.11260738512854999</v>
      </c>
      <c r="AA13" s="434"/>
      <c r="AB13" s="46"/>
      <c r="AC13" s="433" t="e">
        <f>Divident_all!#REF!</f>
        <v>#REF!</v>
      </c>
      <c r="AD13" s="434">
        <f ca="1">IFERROR(__xludf.DUMMYFUNCTION("GOOGLEFINANCE (""Currency:USDRON"")*Divident_all!L40"),2.02117396112774)</f>
        <v>2.0211739611277402</v>
      </c>
      <c r="AE13" s="436"/>
      <c r="AF13" s="161"/>
      <c r="AG13" s="433" t="e">
        <f>Divident_all!#REF!</f>
        <v>#REF!</v>
      </c>
      <c r="AH13" s="434">
        <f ca="1">IFERROR(__xludf.DUMMYFUNCTION("GOOGLEFINANCE (""Currency:USDRON"")*Divident_all!L33"),0.195675402171014)</f>
        <v>0.19567540217101401</v>
      </c>
      <c r="AI13" s="436"/>
      <c r="AJ13" s="161"/>
      <c r="AK13" s="433" t="e">
        <f>Divident_all!#REF!</f>
        <v>#REF!</v>
      </c>
      <c r="AL13" s="434">
        <f ca="1">IFERROR(__xludf.DUMMYFUNCTION("GOOGLEFINANCE (""Currency:USDRON"")*Divident_all!L5"),0.11260738512855)</f>
        <v>0.11260738512854999</v>
      </c>
      <c r="AM13" s="436"/>
      <c r="AN13" s="161"/>
      <c r="AO13" s="437" t="e">
        <f>Divident_all!#REF!</f>
        <v>#REF!</v>
      </c>
      <c r="AP13" s="438">
        <f ca="1">IFERROR(__xludf.DUMMYFUNCTION("GOOGLEFINANCE (""Currency:USDRON"")*Divident_all!L40"),2.02117396112774)</f>
        <v>2.0211739611277402</v>
      </c>
      <c r="AQ13" s="436"/>
      <c r="AR13" s="161"/>
      <c r="AS13" s="437" t="e">
        <f>Divident_all!#REF!</f>
        <v>#REF!</v>
      </c>
      <c r="AT13" s="438">
        <f ca="1">IFERROR(__xludf.DUMMYFUNCTION("GOOGLEFINANCE (""Currency:USDRON"")*Divident_all!L33"),0.195675402171014)</f>
        <v>0.19567540217101401</v>
      </c>
      <c r="AU13" s="436"/>
      <c r="AV13" s="161"/>
      <c r="AW13" s="166"/>
    </row>
    <row r="14" spans="1:49" ht="12.75">
      <c r="A14" s="433" t="e">
        <f>Divident_all!#REF!</f>
        <v>#REF!</v>
      </c>
      <c r="B14" s="434">
        <f ca="1">IFERROR(__xludf.DUMMYFUNCTION("GOOGLEFINANCE (""Currency:USDRON"")*Divident_all!L30"),0.19460651801175)</f>
        <v>0.19460651801175</v>
      </c>
      <c r="C14" s="435">
        <v>0.08</v>
      </c>
      <c r="E14" s="433" t="e">
        <f>Divident_all!#REF!</f>
        <v>#REF!</v>
      </c>
      <c r="F14" s="434">
        <f ca="1">IFERROR(__xludf.DUMMYFUNCTION("GOOGLEFINANCE (""Currency:USDRON"")*Divident_all!L21"),0.7290729264546)</f>
        <v>0.72907292645459998</v>
      </c>
      <c r="G14" s="435">
        <v>0.74</v>
      </c>
      <c r="I14" s="439" t="str">
        <f>Divident_special!B20</f>
        <v>DVN</v>
      </c>
      <c r="J14" s="440">
        <f ca="1">IFERROR(__xludf.DUMMYFUNCTION("GOOGLEFINANCE (""Currency:USDRON"")*Divident_special!J20"),1.24319468576159)</f>
        <v>1.2431946857615901</v>
      </c>
      <c r="K14" s="441">
        <v>1.26</v>
      </c>
      <c r="M14" s="433" t="e">
        <f>Divident_all!#REF!</f>
        <v>#REF!</v>
      </c>
      <c r="N14" s="434">
        <f ca="1">IFERROR(__xludf.DUMMYFUNCTION("GOOGLEFINANCE (""Currency:USDRON"")*Divident_all!L5"),0.11260738512855)</f>
        <v>0.11260738512854999</v>
      </c>
      <c r="O14" s="435">
        <v>0.11</v>
      </c>
      <c r="P14" s="46"/>
      <c r="Q14" s="433" t="e">
        <f>Divident_all!#REF!</f>
        <v>#REF!</v>
      </c>
      <c r="R14" s="434">
        <f ca="1">IFERROR(__xludf.DUMMYFUNCTION("GOOGLEFINANCE (""Currency:USDRON"")*Divident_all!L44"),0.7916458986306)</f>
        <v>0.79164589863059998</v>
      </c>
      <c r="S14" s="434"/>
      <c r="T14" s="46"/>
      <c r="U14" s="433" t="e">
        <f>Divident_all!#REF!</f>
        <v>#REF!</v>
      </c>
      <c r="V14" s="434">
        <f ca="1">IFERROR(__xludf.DUMMYFUNCTION("GOOGLEFINANCE (""Currency:USDRON"")*Divident_all!L36"),0.254500574704739)</f>
        <v>0.25450057470473902</v>
      </c>
      <c r="W14" s="434"/>
      <c r="X14" s="46"/>
      <c r="Y14" s="433" t="e">
        <f>Divident_all!#REF!</f>
        <v>#REF!</v>
      </c>
      <c r="Z14" s="434">
        <f ca="1">IFERROR(__xludf.DUMMYFUNCTION("GOOGLEFINANCE (""Currency:USDRON"")*Divident_all!L30"),0.19460651801175)</f>
        <v>0.19460651801175</v>
      </c>
      <c r="AA14" s="434"/>
      <c r="AB14" s="46"/>
      <c r="AC14" s="433" t="e">
        <f>Divident_all!#REF!</f>
        <v>#REF!</v>
      </c>
      <c r="AD14" s="434">
        <f ca="1">IFERROR(__xludf.DUMMYFUNCTION("GOOGLEFINANCE (""Currency:USDRON"")*Divident_all!L44"),0.7916458986306)</f>
        <v>0.79164589863059998</v>
      </c>
      <c r="AE14" s="436"/>
      <c r="AF14" s="161"/>
      <c r="AG14" s="433" t="e">
        <f>Divident_all!#REF!</f>
        <v>#REF!</v>
      </c>
      <c r="AH14" s="434">
        <f ca="1">IFERROR(__xludf.DUMMYFUNCTION("GOOGLEFINANCE (""Currency:USDRON"")*Divident_all!L36"),0.254500574704739)</f>
        <v>0.25450057470473902</v>
      </c>
      <c r="AI14" s="436"/>
      <c r="AJ14" s="161"/>
      <c r="AK14" s="433" t="e">
        <f>Divident_all!#REF!</f>
        <v>#REF!</v>
      </c>
      <c r="AL14" s="434">
        <f ca="1">IFERROR(__xludf.DUMMYFUNCTION("GOOGLEFINANCE (""Currency:USDRON"")*Divident_all!L30"),0.19460651801175)</f>
        <v>0.19460651801175</v>
      </c>
      <c r="AM14" s="436"/>
      <c r="AN14" s="161"/>
      <c r="AO14" s="437" t="e">
        <f>Divident_all!#REF!</f>
        <v>#REF!</v>
      </c>
      <c r="AP14" s="438">
        <f ca="1">IFERROR(__xludf.DUMMYFUNCTION("GOOGLEFINANCE (""Currency:USDRON"")*Divident_all!L44"),0.7916458986306)</f>
        <v>0.79164589863059998</v>
      </c>
      <c r="AQ14" s="436"/>
      <c r="AR14" s="161"/>
      <c r="AS14" s="437" t="e">
        <f>Divident_all!#REF!</f>
        <v>#REF!</v>
      </c>
      <c r="AT14" s="438">
        <f ca="1">IFERROR(__xludf.DUMMYFUNCTION("GOOGLEFINANCE (""Currency:USDRON"")*Divident_all!L36"),0.254500574704739)</f>
        <v>0.25450057470473902</v>
      </c>
      <c r="AU14" s="436"/>
      <c r="AV14" s="161"/>
      <c r="AW14" s="166"/>
    </row>
    <row r="15" spans="1:49" ht="12.75">
      <c r="A15" s="433" t="e">
        <f>Divident_all!#REF!</f>
        <v>#REF!</v>
      </c>
      <c r="B15" s="434">
        <f ca="1">IFERROR(__xludf.DUMMYFUNCTION("GOOGLEFINANCE (""Currency:USDRON"")*Divident_all!L47"),3.35454939892799)</f>
        <v>3.3545493989279902</v>
      </c>
      <c r="C15" s="435">
        <v>2.38</v>
      </c>
      <c r="E15" s="433" t="e">
        <f>Divident_all!#REF!</f>
        <v>#REF!</v>
      </c>
      <c r="F15" s="434">
        <f ca="1">IFERROR(__xludf.DUMMYFUNCTION("GOOGLEFINANCE (""Currency:USDRON"")*Divident_all!L29"),1.43544875139899)</f>
        <v>1.43544875139899</v>
      </c>
      <c r="G15" s="435">
        <v>1.47</v>
      </c>
      <c r="I15" s="433" t="e">
        <f>Divident_all!#REF!</f>
        <v>#REF!</v>
      </c>
      <c r="J15" s="434">
        <f ca="1">IFERROR(__xludf.DUMMYFUNCTION("GOOGLEFINANCE (""Currency:USDRON"")*Divident_all!L33"),0.195675402171014)</f>
        <v>0.19567540217101401</v>
      </c>
      <c r="K15" s="435">
        <v>0.2</v>
      </c>
      <c r="M15" s="433" t="e">
        <f>Divident_all!#REF!</f>
        <v>#REF!</v>
      </c>
      <c r="N15" s="434">
        <f ca="1">IFERROR(__xludf.DUMMYFUNCTION("GOOGLEFINANCE (""Currency:USDRON"")*Divident_all!L30"),0.19460651801175)</f>
        <v>0.19460651801175</v>
      </c>
      <c r="O15" s="434"/>
      <c r="P15" s="46"/>
      <c r="Q15" s="433" t="e">
        <f>Divident_all!#REF!</f>
        <v>#REF!</v>
      </c>
      <c r="R15" s="434">
        <f ca="1">IFERROR(__xludf.DUMMYFUNCTION("GOOGLEFINANCE (""Currency:USDRON"")*Divident_all!L48"),2.302622602488)</f>
        <v>2.3026226024879999</v>
      </c>
      <c r="S15" s="434"/>
      <c r="T15" s="46"/>
      <c r="U15" s="433" t="e">
        <f>Divident_all!#REF!</f>
        <v>#REF!</v>
      </c>
      <c r="V15" s="434">
        <f ca="1">IFERROR(__xludf.DUMMYFUNCTION("GOOGLEFINANCE (""Currency:USDRON"")*Divident_all!L40"),2.02117396112774)</f>
        <v>2.0211739611277402</v>
      </c>
      <c r="W15" s="434"/>
      <c r="X15" s="46"/>
      <c r="Y15" s="433"/>
      <c r="Z15" s="434"/>
      <c r="AA15" s="434"/>
      <c r="AB15" s="46"/>
      <c r="AC15" s="433" t="e">
        <f>Divident_all!#REF!</f>
        <v>#REF!</v>
      </c>
      <c r="AD15" s="434">
        <f ca="1">IFERROR(__xludf.DUMMYFUNCTION("GOOGLEFINANCE (""Currency:USDRON"")*Divident_all!L48"),2.302622602488)</f>
        <v>2.3026226024879999</v>
      </c>
      <c r="AE15" s="436"/>
      <c r="AF15" s="161"/>
      <c r="AG15" s="433" t="e">
        <f>Divident_all!#REF!</f>
        <v>#REF!</v>
      </c>
      <c r="AH15" s="434">
        <f ca="1">IFERROR(__xludf.DUMMYFUNCTION("GOOGLEFINANCE (""Currency:USDRON"")*Divident_all!L40"),2.02117396112774)</f>
        <v>2.0211739611277402</v>
      </c>
      <c r="AI15" s="436"/>
      <c r="AJ15" s="161"/>
      <c r="AK15" s="433"/>
      <c r="AL15" s="434"/>
      <c r="AM15" s="436"/>
      <c r="AN15" s="161"/>
      <c r="AO15" s="437" t="e">
        <f>Divident_all!#REF!</f>
        <v>#REF!</v>
      </c>
      <c r="AP15" s="438">
        <f ca="1">IFERROR(__xludf.DUMMYFUNCTION("GOOGLEFINANCE (""Currency:USDRON"")*Divident_all!L48"),2.302622602488)</f>
        <v>2.3026226024879999</v>
      </c>
      <c r="AQ15" s="436"/>
      <c r="AR15" s="161"/>
      <c r="AS15" s="437" t="e">
        <f>Divident_all!#REF!</f>
        <v>#REF!</v>
      </c>
      <c r="AT15" s="438">
        <f ca="1">IFERROR(__xludf.DUMMYFUNCTION("GOOGLEFINANCE (""Currency:USDRON"")*Divident_all!L40"),2.02117396112774)</f>
        <v>2.0211739611277402</v>
      </c>
      <c r="AU15" s="436"/>
      <c r="AV15" s="161"/>
      <c r="AW15" s="166"/>
    </row>
    <row r="16" spans="1:49" ht="15.75" customHeight="1">
      <c r="A16" s="433" t="e">
        <f>Divident_all!#REF!</f>
        <v>#REF!</v>
      </c>
      <c r="B16" s="434">
        <f ca="1">IFERROR(__xludf.DUMMYFUNCTION("GOOGLEFINANCE (""Currency:USDRON"")*Divident_all!L17"),0.35181303335802)</f>
        <v>0.35181303335802</v>
      </c>
      <c r="C16" s="435">
        <v>0.15</v>
      </c>
      <c r="D16" s="442"/>
      <c r="E16" s="433" t="e">
        <f>Divident_all!#REF!</f>
        <v>#REF!</v>
      </c>
      <c r="F16" s="434">
        <f ca="1">IFERROR(__xludf.DUMMYFUNCTION("GOOGLEFINANCE (""Currency:USDRON"")*Divident_all!L40"),2.02117396112774)</f>
        <v>2.0211739611277402</v>
      </c>
      <c r="G16" s="435">
        <v>1.58</v>
      </c>
      <c r="H16" s="442"/>
      <c r="I16" s="433" t="e">
        <f>Divident_all!#REF!</f>
        <v>#REF!</v>
      </c>
      <c r="J16" s="434">
        <f ca="1">IFERROR(__xludf.DUMMYFUNCTION("GOOGLEFINANCE (""Currency:USDRON"")*Divident_all!L36"),0.254500574704739)</f>
        <v>0.25450057470473902</v>
      </c>
      <c r="K16" s="435">
        <v>0.26</v>
      </c>
      <c r="L16" s="442"/>
      <c r="M16" s="433"/>
      <c r="N16" s="434"/>
      <c r="O16" s="434"/>
      <c r="P16" s="46"/>
      <c r="Q16" s="433" t="e">
        <f>Divident_all!#REF!</f>
        <v>#REF!</v>
      </c>
      <c r="R16" s="434">
        <f ca="1">IFERROR(__xludf.DUMMYFUNCTION("GOOGLEFINANCE (""Currency:USDRON"")*Divident_all!L52"),0.04849300990638)</f>
        <v>4.8493009906380002E-2</v>
      </c>
      <c r="S16" s="434"/>
      <c r="T16" s="46"/>
      <c r="U16" s="433" t="e">
        <f>Divident_all!#REF!</f>
        <v>#REF!</v>
      </c>
      <c r="V16" s="434">
        <f ca="1">IFERROR(__xludf.DUMMYFUNCTION("GOOGLEFINANCE (""Currency:USDRON"")*Divident_all!L42"),0.890232062522399)</f>
        <v>0.89023206252239895</v>
      </c>
      <c r="W16" s="434"/>
      <c r="X16" s="46"/>
      <c r="Y16" s="433" t="e">
        <f>Divident_all!#REF!</f>
        <v>#REF!</v>
      </c>
      <c r="Z16" s="434">
        <f ca="1">IFERROR(__xludf.DUMMYFUNCTION("GOOGLEFINANCE (""Currency:USDRON"")*Divident_all!L17"),0.35181303335802)</f>
        <v>0.35181303335802</v>
      </c>
      <c r="AA16" s="434"/>
      <c r="AB16" s="46"/>
      <c r="AC16" s="433" t="e">
        <f>Divident_all!#REF!</f>
        <v>#REF!</v>
      </c>
      <c r="AD16" s="434">
        <f ca="1">IFERROR(__xludf.DUMMYFUNCTION("GOOGLEFINANCE (""Currency:USDRON"")*Divident_all!L52"),0.04849300990638)</f>
        <v>4.8493009906380002E-2</v>
      </c>
      <c r="AE16" s="436"/>
      <c r="AF16" s="161"/>
      <c r="AG16" s="433" t="e">
        <f>Divident_all!#REF!</f>
        <v>#REF!</v>
      </c>
      <c r="AH16" s="434">
        <f ca="1">IFERROR(__xludf.DUMMYFUNCTION("GOOGLEFINANCE (""Currency:USDRON"")*Divident_all!L42"),0.890232062522399)</f>
        <v>0.89023206252239895</v>
      </c>
      <c r="AI16" s="436"/>
      <c r="AJ16" s="161"/>
      <c r="AK16" s="433" t="e">
        <f>Divident_all!#REF!</f>
        <v>#REF!</v>
      </c>
      <c r="AL16" s="434">
        <f ca="1">IFERROR(__xludf.DUMMYFUNCTION("GOOGLEFINANCE (""Currency:USDRON"")*Divident_all!L17"),0.35181303335802)</f>
        <v>0.35181303335802</v>
      </c>
      <c r="AM16" s="436"/>
      <c r="AN16" s="161"/>
      <c r="AO16" s="437" t="e">
        <f>Divident_all!#REF!</f>
        <v>#REF!</v>
      </c>
      <c r="AP16" s="438">
        <f ca="1">IFERROR(__xludf.DUMMYFUNCTION("GOOGLEFINANCE (""Currency:USDRON"")*Divident_all!L52"),0.04849300990638)</f>
        <v>4.8493009906380002E-2</v>
      </c>
      <c r="AQ16" s="436"/>
      <c r="AR16" s="161"/>
      <c r="AS16" s="437" t="e">
        <f>Divident_all!#REF!</f>
        <v>#REF!</v>
      </c>
      <c r="AT16" s="438">
        <f ca="1">IFERROR(__xludf.DUMMYFUNCTION("GOOGLEFINANCE (""Currency:USDRON"")*Divident_all!L42"),0.890232062522399)</f>
        <v>0.89023206252239895</v>
      </c>
      <c r="AU16" s="436"/>
      <c r="AV16" s="161"/>
      <c r="AW16" s="166"/>
    </row>
    <row r="17" spans="1:49" ht="15.75" customHeight="1">
      <c r="A17" s="433" t="e">
        <f>Divident_all!#REF!</f>
        <v>#REF!</v>
      </c>
      <c r="B17" s="434">
        <f ca="1">IFERROR(__xludf.DUMMYFUNCTION("GOOGLEFINANCE (""Currency:USDRON"")*Divident_all!L19"),0.226665721900799)</f>
        <v>0.22666572190079901</v>
      </c>
      <c r="C17" s="435">
        <v>0.11</v>
      </c>
      <c r="D17" s="443"/>
      <c r="E17" s="433" t="e">
        <f>Divident_all!#REF!</f>
        <v>#REF!</v>
      </c>
      <c r="F17" s="434">
        <f ca="1">IFERROR(__xludf.DUMMYFUNCTION("GOOGLEFINANCE (""Currency:USDRON"")*Divident_all!L44"),0.7916458986306)</f>
        <v>0.79164589863059998</v>
      </c>
      <c r="G17" s="435">
        <v>0.56999999999999995</v>
      </c>
      <c r="H17" s="443"/>
      <c r="I17" s="433" t="e">
        <f>Divident_all!#REF!</f>
        <v>#REF!</v>
      </c>
      <c r="J17" s="434">
        <f ca="1">IFERROR(__xludf.DUMMYFUNCTION("GOOGLEFINANCE (""Currency:USDRON"")*Divident_all!L40"),2.02117396112774)</f>
        <v>2.0211739611277402</v>
      </c>
      <c r="K17" s="435">
        <v>1.6</v>
      </c>
      <c r="L17" s="443"/>
      <c r="M17" s="433" t="e">
        <f>Divident_all!#REF!</f>
        <v>#REF!</v>
      </c>
      <c r="N17" s="434">
        <f ca="1">IFERROR(__xludf.DUMMYFUNCTION("GOOGLEFINANCE (""Currency:USDRON"")*Divident_all!L17"),0.35181303335802)</f>
        <v>0.35181303335802</v>
      </c>
      <c r="O17" s="435">
        <v>0.35</v>
      </c>
      <c r="P17" s="46"/>
      <c r="Q17" s="433" t="e">
        <f>Divident_all!#REF!</f>
        <v>#REF!</v>
      </c>
      <c r="R17" s="434">
        <f ca="1">IFERROR(__xludf.DUMMYFUNCTION("GOOGLEFINANCE (""Currency:USDRON"")*Divident_all!L56"),0.733284937190519)</f>
        <v>0.73328493719051902</v>
      </c>
      <c r="S17" s="434"/>
      <c r="T17" s="46"/>
      <c r="U17" s="433" t="e">
        <f>Divident_all!#REF!</f>
        <v>#REF!</v>
      </c>
      <c r="V17" s="434">
        <f ca="1">IFERROR(__xludf.DUMMYFUNCTION("GOOGLEFINANCE (""Currency:USDRON"")*Divident_all!L44"),0.7916458986306)</f>
        <v>0.79164589863059998</v>
      </c>
      <c r="W17" s="434"/>
      <c r="X17" s="46"/>
      <c r="Y17" s="433" t="e">
        <f>Divident_all!#REF!</f>
        <v>#REF!</v>
      </c>
      <c r="Z17" s="434">
        <f ca="1">IFERROR(__xludf.DUMMYFUNCTION("GOOGLEFINANCE (""Currency:USDRON"")*Divident_all!L19"),0.226665721900799)</f>
        <v>0.22666572190079901</v>
      </c>
      <c r="AA17" s="434"/>
      <c r="AB17" s="46"/>
      <c r="AC17" s="433" t="e">
        <f>Divident_all!#REF!</f>
        <v>#REF!</v>
      </c>
      <c r="AD17" s="434">
        <f ca="1">IFERROR(__xludf.DUMMYFUNCTION("GOOGLEFINANCE (""Currency:USDRON"")*Divident_all!L56"),0.733284937190519)</f>
        <v>0.73328493719051902</v>
      </c>
      <c r="AE17" s="436"/>
      <c r="AF17" s="161"/>
      <c r="AG17" s="433" t="e">
        <f>Divident_all!#REF!</f>
        <v>#REF!</v>
      </c>
      <c r="AH17" s="434">
        <f ca="1">IFERROR(__xludf.DUMMYFUNCTION("GOOGLEFINANCE (""Currency:USDRON"")*Divident_all!L44"),0.7916458986306)</f>
        <v>0.79164589863059998</v>
      </c>
      <c r="AI17" s="436"/>
      <c r="AJ17" s="161"/>
      <c r="AK17" s="433" t="e">
        <f>Divident_all!#REF!</f>
        <v>#REF!</v>
      </c>
      <c r="AL17" s="434">
        <f ca="1">IFERROR(__xludf.DUMMYFUNCTION("GOOGLEFINANCE (""Currency:USDRON"")*Divident_all!L19"),0.226665721900799)</f>
        <v>0.22666572190079901</v>
      </c>
      <c r="AM17" s="436"/>
      <c r="AN17" s="161"/>
      <c r="AO17" s="437" t="e">
        <f>Divident_all!#REF!</f>
        <v>#REF!</v>
      </c>
      <c r="AP17" s="438">
        <f ca="1">IFERROR(__xludf.DUMMYFUNCTION("GOOGLEFINANCE (""Currency:USDRON"")*Divident_all!L55"),0.3952231217883)</f>
        <v>0.39522312178829999</v>
      </c>
      <c r="AQ17" s="436"/>
      <c r="AR17" s="161"/>
      <c r="AS17" s="437" t="e">
        <f>Divident_all!#REF!</f>
        <v>#REF!</v>
      </c>
      <c r="AT17" s="438">
        <f ca="1">IFERROR(__xludf.DUMMYFUNCTION("GOOGLEFINANCE (""Currency:USDRON"")*Divident_all!L44"),0.7916458986306)</f>
        <v>0.79164589863059998</v>
      </c>
      <c r="AU17" s="436"/>
      <c r="AV17" s="161"/>
      <c r="AW17" s="166"/>
    </row>
    <row r="18" spans="1:49" ht="12.75">
      <c r="C18" s="434"/>
      <c r="E18" s="433" t="e">
        <f>Divident_all!#REF!</f>
        <v>#REF!</v>
      </c>
      <c r="F18" s="434">
        <f ca="1">IFERROR(__xludf.DUMMYFUNCTION("GOOGLEFINANCE (""Currency:USDRON"")*Divident_all!L52"),0.04849300990638)</f>
        <v>4.8493009906380002E-2</v>
      </c>
      <c r="G18" s="435">
        <v>0.05</v>
      </c>
      <c r="I18" s="433" t="e">
        <f>Divident_all!#REF!</f>
        <v>#REF!</v>
      </c>
      <c r="J18" s="434">
        <f ca="1">IFERROR(__xludf.DUMMYFUNCTION("GOOGLEFINANCE (""Currency:USDRON"")*Divident_all!L42"),0.890232062522399)</f>
        <v>0.89023206252239895</v>
      </c>
      <c r="K18" s="435">
        <v>0.91</v>
      </c>
      <c r="M18" s="433" t="e">
        <f>Divident_all!#REF!</f>
        <v>#REF!</v>
      </c>
      <c r="N18" s="434">
        <f ca="1">IFERROR(__xludf.DUMMYFUNCTION("GOOGLEFINANCE (""Currency:USDRON"")*Divident_all!L19"),0.226665721900799)</f>
        <v>0.22666572190079901</v>
      </c>
      <c r="O18" s="434"/>
      <c r="P18" s="46"/>
      <c r="Q18" s="433" t="e">
        <f>Divident_all!#REF!</f>
        <v>#REF!</v>
      </c>
      <c r="R18" s="434">
        <f ca="1">IFERROR(__xludf.DUMMYFUNCTION("GOOGLEFINANCE (""Currency:USDRON"")*Divident_all!L57"),1.39330241422514)</f>
        <v>1.39330241422514</v>
      </c>
      <c r="S18" s="434"/>
      <c r="T18" s="46"/>
      <c r="U18" s="433" t="e">
        <f>Divident_all!#REF!</f>
        <v>#REF!</v>
      </c>
      <c r="V18" s="434">
        <f ca="1">IFERROR(__xludf.DUMMYFUNCTION("GOOGLEFINANCE (""Currency:USDRON"")*Divident_all!L49"),0.32051741436)</f>
        <v>0.32051741435999997</v>
      </c>
      <c r="W18" s="434"/>
      <c r="X18" s="46"/>
      <c r="Y18" s="433" t="e">
        <f>Divident_all!#REF!</f>
        <v>#REF!</v>
      </c>
      <c r="Z18" s="434">
        <f ca="1">IFERROR(__xludf.DUMMYFUNCTION("GOOGLEFINANCE (""Currency:USDRON"")*Divident_all!L41"),0.293483838913199)</f>
        <v>0.29348383891319901</v>
      </c>
      <c r="AA18" s="434"/>
      <c r="AB18" s="46"/>
      <c r="AC18" s="433" t="e">
        <f>Divident_all!#REF!</f>
        <v>#REF!</v>
      </c>
      <c r="AD18" s="434">
        <f ca="1">IFERROR(__xludf.DUMMYFUNCTION("GOOGLEFINANCE (""Currency:USDRON"")*Divident_all!L57"),1.39330241422514)</f>
        <v>1.39330241422514</v>
      </c>
      <c r="AE18" s="436"/>
      <c r="AF18" s="161"/>
      <c r="AG18" s="433" t="e">
        <f>Divident_all!#REF!</f>
        <v>#REF!</v>
      </c>
      <c r="AH18" s="434">
        <f ca="1">IFERROR(__xludf.DUMMYFUNCTION("GOOGLEFINANCE (""Currency:USDRON"")*Divident_all!L49"),0.32051741436)</f>
        <v>0.32051741435999997</v>
      </c>
      <c r="AI18" s="436"/>
      <c r="AJ18" s="161"/>
      <c r="AK18" s="433" t="e">
        <f>Divident_all!#REF!</f>
        <v>#REF!</v>
      </c>
      <c r="AL18" s="434">
        <f ca="1">IFERROR(__xludf.DUMMYFUNCTION("GOOGLEFINANCE (""Currency:USDRON"")*Divident_all!L41"),0.293483838913199)</f>
        <v>0.29348383891319901</v>
      </c>
      <c r="AM18" s="436"/>
      <c r="AN18" s="161"/>
      <c r="AO18" s="437" t="e">
        <f>Divident_all!#REF!</f>
        <v>#REF!</v>
      </c>
      <c r="AP18" s="438">
        <f ca="1">IFERROR(__xludf.DUMMYFUNCTION("GOOGLEFINANCE (""Currency:USDRON"")*Divident_all!L56"),0.733284937190519)</f>
        <v>0.73328493719051902</v>
      </c>
      <c r="AQ18" s="436"/>
      <c r="AR18" s="161"/>
      <c r="AS18" s="437" t="e">
        <f>Divident_all!#REF!</f>
        <v>#REF!</v>
      </c>
      <c r="AT18" s="438">
        <f ca="1">IFERROR(__xludf.DUMMYFUNCTION("GOOGLEFINANCE (""Currency:USDRON"")*Divident_all!L49"),0.32051741436)</f>
        <v>0.32051741435999997</v>
      </c>
      <c r="AU18" s="436"/>
      <c r="AV18" s="161"/>
      <c r="AW18" s="166"/>
    </row>
    <row r="19" spans="1:49" ht="12.75">
      <c r="A19" s="433" t="e">
        <f>Divident_all!#REF!</f>
        <v>#REF!</v>
      </c>
      <c r="B19" s="434">
        <f ca="1">IFERROR(__xludf.DUMMYFUNCTION("GOOGLEFINANCE (""Currency:USDRON"")*Divident_all!L31"),0.377525172179609)</f>
        <v>0.37752517217960901</v>
      </c>
      <c r="C19" s="435">
        <v>0.31</v>
      </c>
      <c r="E19" s="433" t="e">
        <f>Divident_all!#REF!</f>
        <v>#REF!</v>
      </c>
      <c r="F19" s="434">
        <f ca="1">IFERROR(__xludf.DUMMYFUNCTION("GOOGLEFINANCE (""Currency:USDRON"")*Divident_all!L45"),1.2451349640015)</f>
        <v>1.2451349640014999</v>
      </c>
      <c r="G19" s="435">
        <v>0.92</v>
      </c>
      <c r="I19" s="433" t="e">
        <f>Divident_all!#REF!</f>
        <v>#REF!</v>
      </c>
      <c r="J19" s="434">
        <f ca="1">IFERROR(__xludf.DUMMYFUNCTION("GOOGLEFINANCE (""Currency:USDRON"")*Divident_all!L46"),1.34210725613639)</f>
        <v>1.34210725613639</v>
      </c>
      <c r="K19" s="435">
        <v>1.36</v>
      </c>
      <c r="M19" s="433" t="e">
        <f>Divident_all!#REF!</f>
        <v>#REF!</v>
      </c>
      <c r="N19" s="434">
        <f ca="1">IFERROR(__xludf.DUMMYFUNCTION("GOOGLEFINANCE (""Currency:USDRON"")*Divident_all!L41"),0.293483838913199)</f>
        <v>0.29348383891319901</v>
      </c>
      <c r="O19" s="434"/>
      <c r="P19" s="46"/>
      <c r="Q19" s="433" t="e">
        <f>Divident_all!#REF!</f>
        <v>#REF!</v>
      </c>
      <c r="R19" s="434">
        <f ca="1">IFERROR(__xludf.DUMMYFUNCTION("GOOGLEFINANCE (""Currency:USDRON"")*Divident_all!L45"),1.2451349640015)</f>
        <v>1.2451349640014999</v>
      </c>
      <c r="S19" s="434"/>
      <c r="T19" s="46"/>
      <c r="U19" s="433" t="e">
        <f>Divident_all!#REF!</f>
        <v>#REF!</v>
      </c>
      <c r="V19" s="434">
        <f ca="1">IFERROR(__xludf.DUMMYFUNCTION("GOOGLEFINANCE (""Currency:USDRON"")*Divident_all!L46"),1.34210725613639)</f>
        <v>1.34210725613639</v>
      </c>
      <c r="W19" s="434"/>
      <c r="X19" s="46"/>
      <c r="Y19" s="433" t="e">
        <f>Divident_all!#REF!</f>
        <v>#REF!</v>
      </c>
      <c r="Z19" s="434">
        <f ca="1">IFERROR(__xludf.DUMMYFUNCTION("GOOGLEFINANCE (""Currency:USDRON"")*Divident_all!L31"),0.377525172179609)</f>
        <v>0.37752517217960901</v>
      </c>
      <c r="AA19" s="434"/>
      <c r="AB19" s="46"/>
      <c r="AC19" s="433" t="e">
        <f>Divident_all!#REF!</f>
        <v>#REF!</v>
      </c>
      <c r="AD19" s="434">
        <f ca="1">IFERROR(__xludf.DUMMYFUNCTION("GOOGLEFINANCE (""Currency:USDRON"")*Divident_all!L45"),1.2451349640015)</f>
        <v>1.2451349640014999</v>
      </c>
      <c r="AE19" s="436"/>
      <c r="AF19" s="161"/>
      <c r="AG19" s="433" t="e">
        <f>Divident_all!#REF!</f>
        <v>#REF!</v>
      </c>
      <c r="AH19" s="434">
        <f ca="1">IFERROR(__xludf.DUMMYFUNCTION("GOOGLEFINANCE (""Currency:USDRON"")*Divident_all!L46"),1.34210725613639)</f>
        <v>1.34210725613639</v>
      </c>
      <c r="AI19" s="436"/>
      <c r="AJ19" s="161"/>
      <c r="AK19" s="433" t="e">
        <f>Divident_all!#REF!</f>
        <v>#REF!</v>
      </c>
      <c r="AL19" s="434">
        <f ca="1">IFERROR(__xludf.DUMMYFUNCTION("GOOGLEFINANCE (""Currency:USDRON"")*Divident_all!L31"),0.377525172179609)</f>
        <v>0.37752517217960901</v>
      </c>
      <c r="AM19" s="436"/>
      <c r="AN19" s="161"/>
      <c r="AO19" s="437" t="e">
        <f>Divident_all!#REF!</f>
        <v>#REF!</v>
      </c>
      <c r="AP19" s="438">
        <f ca="1">IFERROR(__xludf.DUMMYFUNCTION("GOOGLEFINANCE (""Currency:USDRON"")*Divident_all!L45"),1.2451349640015)</f>
        <v>1.2451349640014999</v>
      </c>
      <c r="AQ19" s="436"/>
      <c r="AR19" s="161"/>
      <c r="AS19" s="437" t="e">
        <f>Divident_all!#REF!</f>
        <v>#REF!</v>
      </c>
      <c r="AT19" s="438">
        <f ca="1">IFERROR(__xludf.DUMMYFUNCTION("GOOGLEFINANCE (""Currency:USDRON"")*Divident_all!L46"),1.34210725613639)</f>
        <v>1.34210725613639</v>
      </c>
      <c r="AU19" s="436"/>
      <c r="AV19" s="161"/>
      <c r="AW19" s="166"/>
    </row>
    <row r="20" spans="1:49" ht="12.75">
      <c r="A20" s="433" t="e">
        <f>Divident_all!#REF!</f>
        <v>#REF!</v>
      </c>
      <c r="B20" s="434">
        <f ca="1">IFERROR(__xludf.DUMMYFUNCTION("GOOGLEFINANCE (""Currency:USDRON"")*Divident_all!L61"),0.582449566973625)</f>
        <v>0.58244956697362504</v>
      </c>
      <c r="C20" s="435">
        <v>0.3</v>
      </c>
      <c r="E20" s="433" t="e">
        <f>Divident_all!#REF!</f>
        <v>#REF!</v>
      </c>
      <c r="F20" s="434">
        <f ca="1">IFERROR(__xludf.DUMMYFUNCTION("GOOGLEFINANCE (""Currency:USDRON"")*Divident_all!L13"),1.44160214861987)</f>
        <v>1.44160214861987</v>
      </c>
      <c r="G20" s="435">
        <v>0.95</v>
      </c>
      <c r="I20" s="433" t="e">
        <f>Divident_all!#REF!</f>
        <v>#REF!</v>
      </c>
      <c r="J20" s="434">
        <f ca="1">IFERROR(__xludf.DUMMYFUNCTION("GOOGLEFINANCE (""Currency:USDRON"")*Divident_all!L44"),0.7916458986306)</f>
        <v>0.79164589863059998</v>
      </c>
      <c r="K20" s="435">
        <v>0.7</v>
      </c>
      <c r="M20" s="433" t="e">
        <f>Divident_all!#REF!</f>
        <v>#REF!</v>
      </c>
      <c r="N20" s="434">
        <f ca="1">IFERROR(__xludf.DUMMYFUNCTION("GOOGLEFINANCE (""Currency:USDRON"")*Divident_all!L31"),0.377525172179609)</f>
        <v>0.37752517217960901</v>
      </c>
      <c r="O20" s="434"/>
      <c r="P20" s="46"/>
      <c r="Q20" s="433" t="e">
        <f>Divident_all!#REF!</f>
        <v>#REF!</v>
      </c>
      <c r="R20" s="434">
        <f ca="1">IFERROR(__xludf.DUMMYFUNCTION("GOOGLEFINANCE (""Currency:USDRON"")*Divident_all!L58"),1.1500305097086)</f>
        <v>1.1500305097086001</v>
      </c>
      <c r="S20" s="434"/>
      <c r="T20" s="46"/>
      <c r="U20" s="433" t="e">
        <f>Divident_all!#REF!</f>
        <v>#REF!</v>
      </c>
      <c r="V20" s="434">
        <f ca="1">IFERROR(__xludf.DUMMYFUNCTION("GOOGLEFINANCE (""Currency:USDRON"")*Divident_all!L51"),0.177436408537439)</f>
        <v>0.177436408537439</v>
      </c>
      <c r="W20" s="434"/>
      <c r="X20" s="46"/>
      <c r="Y20" s="433" t="e">
        <f>Divident_all!#REF!</f>
        <v>#REF!</v>
      </c>
      <c r="Z20" s="434">
        <f ca="1">IFERROR(__xludf.DUMMYFUNCTION("GOOGLEFINANCE (""Currency:USDRON"")*Divident_all!L61"),0.582449566973625)</f>
        <v>0.58244956697362504</v>
      </c>
      <c r="AA20" s="434"/>
      <c r="AB20" s="46"/>
      <c r="AC20" s="433" t="e">
        <f>Divident_all!#REF!</f>
        <v>#REF!</v>
      </c>
      <c r="AD20" s="434">
        <f ca="1">IFERROR(__xludf.DUMMYFUNCTION("GOOGLEFINANCE (""Currency:USDRON"")*Divident_all!L58"),1.1500305097086)</f>
        <v>1.1500305097086001</v>
      </c>
      <c r="AE20" s="436"/>
      <c r="AF20" s="161"/>
      <c r="AG20" s="433" t="e">
        <f>Divident_all!#REF!</f>
        <v>#REF!</v>
      </c>
      <c r="AH20" s="434">
        <f ca="1">IFERROR(__xludf.DUMMYFUNCTION("GOOGLEFINANCE (""Currency:USDRON"")*Divident_all!L51"),0.177436408537439)</f>
        <v>0.177436408537439</v>
      </c>
      <c r="AI20" s="436"/>
      <c r="AJ20" s="161"/>
      <c r="AK20" s="433"/>
      <c r="AL20" s="434"/>
      <c r="AM20" s="436"/>
      <c r="AN20" s="161"/>
      <c r="AO20" s="437" t="e">
        <f>Divident_all!#REF!</f>
        <v>#REF!</v>
      </c>
      <c r="AP20" s="438">
        <f ca="1">IFERROR(__xludf.DUMMYFUNCTION("GOOGLEFINANCE (""Currency:USDRON"")*Divident_all!L57"),1.39330241422514)</f>
        <v>1.39330241422514</v>
      </c>
      <c r="AQ20" s="436"/>
      <c r="AR20" s="161"/>
      <c r="AS20" s="437" t="e">
        <f>Divident_all!#REF!</f>
        <v>#REF!</v>
      </c>
      <c r="AT20" s="438">
        <f ca="1">IFERROR(__xludf.DUMMYFUNCTION("GOOGLEFINANCE (""Currency:USDRON"")*Divident_all!L51"),0.177436408537439)</f>
        <v>0.177436408537439</v>
      </c>
      <c r="AU20" s="436"/>
      <c r="AV20" s="161"/>
      <c r="AW20" s="166"/>
    </row>
    <row r="21" spans="1:49" ht="12.75">
      <c r="A21" s="433"/>
      <c r="B21" s="433"/>
      <c r="C21" s="434"/>
      <c r="E21" s="433" t="e">
        <f>Divident_all!#REF!</f>
        <v>#REF!</v>
      </c>
      <c r="F21" s="434">
        <f ca="1">IFERROR(__xludf.DUMMYFUNCTION("GOOGLEFINANCE (""Currency:USDRON"")*Divident_all!L63"),1.06856537702265)</f>
        <v>1.06856537702265</v>
      </c>
      <c r="G21" s="435">
        <v>0.81</v>
      </c>
      <c r="I21" s="433" t="e">
        <f>Divident_all!#REF!</f>
        <v>#REF!</v>
      </c>
      <c r="J21" s="434">
        <f ca="1">IFERROR(__xludf.DUMMYFUNCTION("GOOGLEFINANCE (""Currency:USDRON"")*Divident_all!L24"),0.831545827112519)</f>
        <v>0.83154582711251901</v>
      </c>
      <c r="K21" s="435">
        <v>0.84</v>
      </c>
      <c r="M21" s="433" t="e">
        <f>Divident_all!#REF!</f>
        <v>#REF!</v>
      </c>
      <c r="N21" s="434">
        <f ca="1">IFERROR(__xludf.DUMMYFUNCTION("GOOGLEFINANCE (""Currency:USDRON"")*Divident_all!L61"),0.582449566973625)</f>
        <v>0.58244956697362504</v>
      </c>
      <c r="O21" s="434"/>
      <c r="P21" s="46"/>
      <c r="Q21" s="433" t="e">
        <f>Divident_all!#REF!</f>
        <v>#REF!</v>
      </c>
      <c r="R21" s="434">
        <f ca="1">IFERROR(__xludf.DUMMYFUNCTION("GOOGLEFINANCE (""Currency:USDRON"")*Divident_all!L63"),1.06856537702265)</f>
        <v>1.06856537702265</v>
      </c>
      <c r="S21" s="434"/>
      <c r="T21" s="46"/>
      <c r="U21" s="433" t="e">
        <f>Divident_all!#REF!</f>
        <v>#REF!</v>
      </c>
      <c r="V21" s="434">
        <f ca="1">IFERROR(__xludf.DUMMYFUNCTION("GOOGLEFINANCE (""Currency:USDRON"")*Divident_all!L24"),0.831545827112519)</f>
        <v>0.83154582711251901</v>
      </c>
      <c r="W21" s="434"/>
      <c r="X21" s="46"/>
      <c r="Y21" s="433"/>
      <c r="Z21" s="434"/>
      <c r="AA21" s="434"/>
      <c r="AB21" s="46"/>
      <c r="AC21" s="433" t="e">
        <f>Divident_all!#REF!</f>
        <v>#REF!</v>
      </c>
      <c r="AD21" s="434">
        <f ca="1">IFERROR(__xludf.DUMMYFUNCTION("GOOGLEFINANCE (""Currency:USDRON"")*Divident_all!L63"),1.06856537702265)</f>
        <v>1.06856537702265</v>
      </c>
      <c r="AE21" s="436"/>
      <c r="AF21" s="161"/>
      <c r="AG21" s="433" t="e">
        <f>Divident_all!#REF!</f>
        <v>#REF!</v>
      </c>
      <c r="AH21" s="434">
        <f ca="1">IFERROR(__xludf.DUMMYFUNCTION("GOOGLEFINANCE (""Currency:USDRON"")*Divident_all!L24"),0.831545827112519)</f>
        <v>0.83154582711251901</v>
      </c>
      <c r="AI21" s="436"/>
      <c r="AJ21" s="161"/>
      <c r="AK21" s="433" t="e">
        <f>Divident_all!#REF!</f>
        <v>#REF!</v>
      </c>
      <c r="AL21" s="434">
        <f ca="1">IFERROR(__xludf.DUMMYFUNCTION("GOOGLEFINANCE (""Currency:GBPRON"")*Divident_all!L61"),0.723577097051334)</f>
        <v>0.723577097051334</v>
      </c>
      <c r="AM21" s="436"/>
      <c r="AN21" s="161"/>
      <c r="AO21" s="437" t="e">
        <f>Divident_all!#REF!</f>
        <v>#REF!</v>
      </c>
      <c r="AP21" s="438">
        <f ca="1">IFERROR(__xludf.DUMMYFUNCTION("GOOGLEFINANCE (""Currency:USDRON"")*Divident_all!L63"),1.06856537702265)</f>
        <v>1.06856537702265</v>
      </c>
      <c r="AQ21" s="436"/>
      <c r="AR21" s="161"/>
      <c r="AS21" s="437" t="e">
        <f>Divident_all!#REF!</f>
        <v>#REF!</v>
      </c>
      <c r="AT21" s="438">
        <f ca="1">IFERROR(__xludf.DUMMYFUNCTION("GOOGLEFINANCE (""Currency:USDRON"")*Divident_all!L24"),0.831545827112519)</f>
        <v>0.83154582711251901</v>
      </c>
      <c r="AU21" s="436"/>
      <c r="AV21" s="161"/>
      <c r="AW21" s="166"/>
    </row>
    <row r="22" spans="1:49" ht="12.75">
      <c r="A22" s="433"/>
      <c r="B22" s="433"/>
      <c r="C22" s="434"/>
      <c r="E22" s="433" t="e">
        <f>Divident_all!#REF!</f>
        <v>#REF!</v>
      </c>
      <c r="F22" s="434">
        <f ca="1">IFERROR(__xludf.DUMMYFUNCTION("GOOGLEFINANCE (""Currency:USDRON"")*Divident_all!L32"),0.667208826648)</f>
        <v>0.66720882664799996</v>
      </c>
      <c r="G22" s="435">
        <v>0.68</v>
      </c>
      <c r="I22" s="433" t="e">
        <f>Divident_all!#REF!</f>
        <v>#REF!</v>
      </c>
      <c r="J22" s="434">
        <f ca="1">IFERROR(__xludf.DUMMYFUNCTION("GOOGLEFINANCE (""Currency:USDRON"")*Divident_all!L59"),0.580684171017599)</f>
        <v>0.58068417101759895</v>
      </c>
      <c r="K22" s="435">
        <v>0.6</v>
      </c>
      <c r="M22" s="433"/>
      <c r="N22" s="434"/>
      <c r="O22" s="434"/>
      <c r="P22" s="46"/>
      <c r="Q22" s="433" t="e">
        <f>Divident_all!#REF!</f>
        <v>#REF!</v>
      </c>
      <c r="R22" s="434">
        <f ca="1">IFERROR(__xludf.DUMMYFUNCTION("GOOGLEFINANCE (""Currency:USDRON"")*Divident_all!L64"),0.617584221686249)</f>
        <v>0.61758422168624905</v>
      </c>
      <c r="S22" s="434"/>
      <c r="T22" s="46"/>
      <c r="U22" s="433" t="e">
        <f>Divident_all!#REF!</f>
        <v>#REF!</v>
      </c>
      <c r="V22" s="434">
        <f ca="1">IFERROR(__xludf.DUMMYFUNCTION("GOOGLEFINANCE (""Currency:USDRON"")*Divident_all!L59"),0.580684171017599)</f>
        <v>0.58068417101759895</v>
      </c>
      <c r="W22" s="434"/>
      <c r="X22" s="46"/>
      <c r="Y22" s="433"/>
      <c r="Z22" s="434"/>
      <c r="AA22" s="434"/>
      <c r="AB22" s="46"/>
      <c r="AC22" s="433" t="e">
        <f>Divident_all!#REF!</f>
        <v>#REF!</v>
      </c>
      <c r="AD22" s="434">
        <f ca="1">IFERROR(__xludf.DUMMYFUNCTION("GOOGLEFINANCE (""Currency:USDRON"")*Divident_all!L64"),0.617584221686249)</f>
        <v>0.61758422168624905</v>
      </c>
      <c r="AE22" s="436"/>
      <c r="AF22" s="161"/>
      <c r="AG22" s="433" t="e">
        <f>Divident_all!#REF!</f>
        <v>#REF!</v>
      </c>
      <c r="AH22" s="434">
        <f ca="1">IFERROR(__xludf.DUMMYFUNCTION("GOOGLEFINANCE (""Currency:USDRON"")*Divident_all!L59"),0.580684171017599)</f>
        <v>0.58068417101759895</v>
      </c>
      <c r="AI22" s="436"/>
      <c r="AJ22" s="161"/>
      <c r="AK22" s="430"/>
      <c r="AL22" s="436"/>
      <c r="AM22" s="436"/>
      <c r="AN22" s="161"/>
      <c r="AO22" s="437" t="e">
        <f>Divident_all!#REF!</f>
        <v>#REF!</v>
      </c>
      <c r="AP22" s="438">
        <f ca="1">IFERROR(__xludf.DUMMYFUNCTION("GOOGLEFINANCE (""Currency:USDRON"")*Divident_all!L64"),0.617584221686249)</f>
        <v>0.61758422168624905</v>
      </c>
      <c r="AQ22" s="436"/>
      <c r="AR22" s="161"/>
      <c r="AS22" s="437" t="e">
        <f>Divident_all!#REF!</f>
        <v>#REF!</v>
      </c>
      <c r="AT22" s="438">
        <f ca="1">IFERROR(__xludf.DUMMYFUNCTION("GOOGLEFINANCE (""Currency:USDRON"")*Divident_all!L59"),0.580684171017599)</f>
        <v>0.58068417101759895</v>
      </c>
      <c r="AU22" s="436"/>
      <c r="AV22" s="161"/>
      <c r="AW22" s="166"/>
    </row>
    <row r="23" spans="1:49" ht="12.75">
      <c r="A23" s="433"/>
      <c r="B23" s="433"/>
      <c r="C23" s="434"/>
      <c r="E23" s="433" t="e">
        <f>Divident_all!#REF!</f>
        <v>#REF!</v>
      </c>
      <c r="F23" s="434">
        <f ca="1">IFERROR(__xludf.DUMMYFUNCTION("GOOGLEFINANCE (""Currency:USDRON"")*Divident_all!L41"),0.293483838913199)</f>
        <v>0.29348383891319901</v>
      </c>
      <c r="G23" s="435">
        <v>0.12</v>
      </c>
      <c r="I23" s="433" t="e">
        <f>Divident_all!#REF!</f>
        <v>#REF!</v>
      </c>
      <c r="J23" s="434">
        <f ca="1">IFERROR(__xludf.DUMMYFUNCTION("GOOGLEFINANCE (""Currency:GBPRON"")*Divident_all!L25"),1.10357438537803)</f>
        <v>1.10357438537803</v>
      </c>
      <c r="K23" s="435">
        <v>1.1100000000000001</v>
      </c>
      <c r="M23" s="433"/>
      <c r="N23" s="434"/>
      <c r="O23" s="434"/>
      <c r="P23" s="46"/>
      <c r="Q23" s="433" t="e">
        <f>Divident_all!#REF!</f>
        <v>#REF!</v>
      </c>
      <c r="R23" s="434">
        <f ca="1">IFERROR(__xludf.DUMMYFUNCTION("GOOGLEFINANCE (""Currency:USDRON"")*Divident_all!L13"),1.44160214861987)</f>
        <v>1.44160214861987</v>
      </c>
      <c r="S23" s="434"/>
      <c r="T23" s="46"/>
      <c r="U23" s="433" t="e">
        <f>Divident_all!#REF!</f>
        <v>#REF!</v>
      </c>
      <c r="V23" s="434">
        <f ca="1">IFERROR(__xludf.DUMMYFUNCTION("GOOGLEFINANCE (""Currency:GBPRON"")*Divident_all!L25"),1.10357438537803)</f>
        <v>1.10357438537803</v>
      </c>
      <c r="W23" s="434"/>
      <c r="X23" s="46"/>
      <c r="Y23" s="433"/>
      <c r="Z23" s="434"/>
      <c r="AA23" s="434"/>
      <c r="AB23" s="46"/>
      <c r="AC23" s="433" t="e">
        <f>Divident_all!#REF!</f>
        <v>#REF!</v>
      </c>
      <c r="AD23" s="434">
        <f ca="1">IFERROR(__xludf.DUMMYFUNCTION("GOOGLEFINANCE (""Currency:USDRON"")*Divident_all!L13"),1.44160214861987)</f>
        <v>1.44160214861987</v>
      </c>
      <c r="AE23" s="436"/>
      <c r="AF23" s="161"/>
      <c r="AG23" s="433" t="e">
        <f>Divident_all!#REF!</f>
        <v>#REF!</v>
      </c>
      <c r="AH23" s="434">
        <f ca="1">IFERROR(__xludf.DUMMYFUNCTION("GOOGLEFINANCE (""Currency:GBPRON"")*Divident_all!L25"),1.10357438537803)</f>
        <v>1.10357438537803</v>
      </c>
      <c r="AI23" s="436"/>
      <c r="AJ23" s="161"/>
      <c r="AK23" s="430"/>
      <c r="AL23" s="436"/>
      <c r="AM23" s="436"/>
      <c r="AN23" s="161"/>
      <c r="AO23" s="437" t="e">
        <f>Divident_all!#REF!</f>
        <v>#REF!</v>
      </c>
      <c r="AP23" s="438">
        <f ca="1">IFERROR(__xludf.DUMMYFUNCTION("GOOGLEFINANCE (""Currency:USDRON"")*Divident_all!L58"),1.1500305097086)</f>
        <v>1.1500305097086001</v>
      </c>
      <c r="AQ23" s="436"/>
      <c r="AR23" s="161"/>
      <c r="AS23" s="437" t="e">
        <f>Divident_all!#REF!</f>
        <v>#REF!</v>
      </c>
      <c r="AT23" s="438">
        <f ca="1">IFERROR(__xludf.DUMMYFUNCTION("GOOGLEFINANCE (""Currency:USDRON"")*Divident_all!L25"),0.888331631150311)</f>
        <v>0.888331631150311</v>
      </c>
      <c r="AU23" s="436"/>
      <c r="AV23" s="161"/>
      <c r="AW23" s="166"/>
    </row>
    <row r="24" spans="1:49" ht="12.75">
      <c r="A24" s="433"/>
      <c r="B24" s="433"/>
      <c r="C24" s="434"/>
      <c r="E24" s="439" t="e">
        <f>Divident_all!#REF!</f>
        <v>#REF!</v>
      </c>
      <c r="F24" s="440">
        <f ca="1">IFERROR(__xludf.DUMMYFUNCTION("GOOGLEFINANCE (""Currency:USDRON"")*Divident_special!J31"),2.39698522018799)</f>
        <v>2.39698522018799</v>
      </c>
      <c r="G24" s="441">
        <v>2.0099999999999998</v>
      </c>
      <c r="I24" s="433" t="e">
        <f>Divident_all!#REF!</f>
        <v>#REF!</v>
      </c>
      <c r="J24" s="434">
        <f ca="1">IFERROR(__xludf.DUMMYFUNCTION("GOOGLEFINANCE (""Currency:CADRON"")*Divident_all!L22"),1.49010631900648)</f>
        <v>1.4901063190064801</v>
      </c>
      <c r="K24" s="435">
        <v>1.44</v>
      </c>
      <c r="M24" s="433"/>
      <c r="N24" s="434"/>
      <c r="O24" s="434"/>
      <c r="P24" s="46"/>
      <c r="Q24" s="433"/>
      <c r="R24" s="434"/>
      <c r="S24" s="434"/>
      <c r="T24" s="46"/>
      <c r="U24" s="433" t="e">
        <f>Divident_all!#REF!</f>
        <v>#REF!</v>
      </c>
      <c r="V24" s="434">
        <f ca="1">IFERROR(__xludf.DUMMYFUNCTION("GOOGLEFINANCE (""Currency:CADRON"")*Divident_all!L22"),1.49010631900648)</f>
        <v>1.4901063190064801</v>
      </c>
      <c r="W24" s="434"/>
      <c r="X24" s="46"/>
      <c r="Y24" s="433"/>
      <c r="Z24" s="434"/>
      <c r="AA24" s="434"/>
      <c r="AB24" s="46"/>
      <c r="AC24" s="433" t="e">
        <f>Divident_all!#REF!</f>
        <v>#REF!</v>
      </c>
      <c r="AD24" s="434">
        <f ca="1">IFERROR(__xludf.DUMMYFUNCTION("GOOGLEFINANCE (""Currency:GBPRON"")*Divident_all!L27"),0.82701163400032)</f>
        <v>0.82701163400031996</v>
      </c>
      <c r="AE24" s="436"/>
      <c r="AF24" s="161"/>
      <c r="AG24" s="433" t="e">
        <f>Divident_all!#REF!</f>
        <v>#REF!</v>
      </c>
      <c r="AH24" s="434">
        <f ca="1">IFERROR(__xludf.DUMMYFUNCTION("GOOGLEFINANCE (""Currency:CADRON"")*Divident_all!L22"),1.49010631900648)</f>
        <v>1.4901063190064801</v>
      </c>
      <c r="AI24" s="436"/>
      <c r="AJ24" s="161"/>
      <c r="AK24" s="430"/>
      <c r="AL24" s="436"/>
      <c r="AM24" s="436"/>
      <c r="AN24" s="161"/>
      <c r="AO24" s="437" t="e">
        <f>Divident_all!#REF!</f>
        <v>#REF!</v>
      </c>
      <c r="AP24" s="438">
        <f ca="1">IFERROR(__xludf.DUMMYFUNCTION("GOOGLEFINANCE (""Currency:GBPRON"")*Divident_all!L27"),0.82701163400032)</f>
        <v>0.82701163400031996</v>
      </c>
      <c r="AQ24" s="436"/>
      <c r="AR24" s="161"/>
      <c r="AS24" s="437" t="e">
        <f>Divident_all!#REF!</f>
        <v>#REF!</v>
      </c>
      <c r="AT24" s="438">
        <f ca="1">IFERROR(__xludf.DUMMYFUNCTION("GOOGLEFINANCE (""Currency:CADRON"")*Divident_all!L22"),1.49010631900648)</f>
        <v>1.4901063190064801</v>
      </c>
      <c r="AU24" s="436"/>
      <c r="AV24" s="161"/>
      <c r="AW24" s="166"/>
    </row>
    <row r="25" spans="1:49" ht="12.75">
      <c r="A25" s="433"/>
      <c r="B25" s="433"/>
      <c r="C25" s="434"/>
      <c r="E25" s="433"/>
      <c r="F25" s="433"/>
      <c r="G25" s="433"/>
      <c r="I25" s="433" t="e">
        <f>Divident_all!#REF!</f>
        <v>#REF!</v>
      </c>
      <c r="J25" s="434">
        <f ca="1">IFERROR(__xludf.DUMMYFUNCTION("GOOGLEFINANCE (""Currency:USDRON"")*Divident_all!L35"),0.2319620007744)</f>
        <v>0.23196200077439999</v>
      </c>
      <c r="K25" s="435">
        <v>0.24</v>
      </c>
      <c r="M25" s="433"/>
      <c r="N25" s="434"/>
      <c r="O25" s="434"/>
      <c r="P25" s="46"/>
      <c r="Q25" s="433" t="e">
        <f>Divident_all!#REF!</f>
        <v>#REF!</v>
      </c>
      <c r="R25" s="434">
        <f ca="1">IFERROR(__xludf.DUMMYFUNCTION("GOOGLEFINANCE (""Currency:USDRON"")*Divident_all!L32"),0.667208826648)</f>
        <v>0.66720882664799996</v>
      </c>
      <c r="S25" s="434"/>
      <c r="T25" s="46"/>
      <c r="U25" s="433" t="e">
        <f>Divident_all!#REF!</f>
        <v>#REF!</v>
      </c>
      <c r="V25" s="434">
        <f ca="1">IFERROR(__xludf.DUMMYFUNCTION("GOOGLEFINANCE (""Currency:USDRON"")*Divident_all!L35"),0.2319620007744)</f>
        <v>0.23196200077439999</v>
      </c>
      <c r="W25" s="434"/>
      <c r="X25" s="46"/>
      <c r="Y25" s="433"/>
      <c r="Z25" s="434"/>
      <c r="AA25" s="434"/>
      <c r="AB25" s="46"/>
      <c r="AC25" s="433" t="e">
        <f>Divident_all!#REF!</f>
        <v>#REF!</v>
      </c>
      <c r="AD25" s="434">
        <f ca="1">IFERROR(__xludf.DUMMYFUNCTION("GOOGLEFINANCE (""Currency:USDRON"")*Divident_all!L32"),0.667208826648)</f>
        <v>0.66720882664799996</v>
      </c>
      <c r="AE25" s="436"/>
      <c r="AF25" s="161"/>
      <c r="AG25" s="433" t="e">
        <f>Divident_all!#REF!</f>
        <v>#REF!</v>
      </c>
      <c r="AH25" s="434">
        <f ca="1">IFERROR(__xludf.DUMMYFUNCTION("GOOGLEFINANCE (""Currency:USDRON"")*Divident_all!L35"),0.2319620007744)</f>
        <v>0.23196200077439999</v>
      </c>
      <c r="AI25" s="436"/>
      <c r="AJ25" s="161"/>
      <c r="AK25" s="430"/>
      <c r="AL25" s="436"/>
      <c r="AM25" s="436"/>
      <c r="AN25" s="161"/>
      <c r="AO25" s="437" t="e">
        <f>Divident_all!#REF!</f>
        <v>#REF!</v>
      </c>
      <c r="AP25" s="438">
        <f ca="1">IFERROR(__xludf.DUMMYFUNCTION("GOOGLEFINANCE (""Currency:USDRON"")*Divident_all!L13"),1.44160214861987)</f>
        <v>1.44160214861987</v>
      </c>
      <c r="AQ25" s="436"/>
      <c r="AR25" s="161"/>
      <c r="AS25" s="437" t="e">
        <f>Divident_all!#REF!</f>
        <v>#REF!</v>
      </c>
      <c r="AT25" s="438">
        <f ca="1">IFERROR(__xludf.DUMMYFUNCTION("GOOGLEFINANCE (""Currency:USDRON"")*Divident_all!L35"),0.2319620007744)</f>
        <v>0.23196200077439999</v>
      </c>
      <c r="AU25" s="436"/>
      <c r="AV25" s="161"/>
      <c r="AW25" s="166"/>
    </row>
    <row r="26" spans="1:49" ht="12.75">
      <c r="A26" s="433"/>
      <c r="B26" s="433"/>
      <c r="C26" s="434"/>
      <c r="E26" s="433"/>
      <c r="F26" s="433"/>
      <c r="G26" s="433"/>
      <c r="I26" s="433" t="e">
        <f>Divident_all!#REF!</f>
        <v>#REF!</v>
      </c>
      <c r="J26" s="434">
        <f ca="1">IFERROR(__xludf.DUMMYFUNCTION("GOOGLEFINANCE (""Currency:USDRON"")*Divident_all!L34"),0.11629160831106)</f>
        <v>0.11629160831106</v>
      </c>
      <c r="K26" s="435">
        <v>0.12</v>
      </c>
      <c r="M26" s="433"/>
      <c r="N26" s="434"/>
      <c r="O26" s="434"/>
      <c r="P26" s="46"/>
      <c r="Q26" s="433"/>
      <c r="R26" s="434"/>
      <c r="S26" s="434"/>
      <c r="T26" s="46"/>
      <c r="U26" s="433" t="e">
        <f>Divident_all!#REF!</f>
        <v>#REF!</v>
      </c>
      <c r="V26" s="434">
        <f ca="1">IFERROR(__xludf.DUMMYFUNCTION("GOOGLEFINANCE (""Currency:USDRON"")*Divident_all!L34"),0.11629160831106)</f>
        <v>0.11629160831106</v>
      </c>
      <c r="W26" s="434"/>
      <c r="X26" s="46"/>
      <c r="Y26" s="433"/>
      <c r="Z26" s="434"/>
      <c r="AA26" s="434"/>
      <c r="AB26" s="46"/>
      <c r="AC26" s="433"/>
      <c r="AD26" s="434"/>
      <c r="AE26" s="436"/>
      <c r="AF26" s="161"/>
      <c r="AG26" s="433" t="e">
        <f>Divident_all!#REF!</f>
        <v>#REF!</v>
      </c>
      <c r="AH26" s="434">
        <f ca="1">IFERROR(__xludf.DUMMYFUNCTION("GOOGLEFINANCE (""Currency:USDRON"")*Divident_all!L34"),0.11629160831106)</f>
        <v>0.11629160831106</v>
      </c>
      <c r="AI26" s="436"/>
      <c r="AJ26" s="161"/>
      <c r="AK26" s="430"/>
      <c r="AL26" s="436"/>
      <c r="AM26" s="436"/>
      <c r="AN26" s="161"/>
      <c r="AO26" s="437" t="e">
        <f>Divident_all!#REF!</f>
        <v>#REF!</v>
      </c>
      <c r="AP26" s="438">
        <f ca="1">IFERROR(__xludf.DUMMYFUNCTION("GOOGLEFINANCE (""Currency:USDRON"")*Divident_all!L32"),0.667208826648)</f>
        <v>0.66720882664799996</v>
      </c>
      <c r="AQ26" s="436"/>
      <c r="AR26" s="161"/>
      <c r="AS26" s="437" t="e">
        <f>Divident_all!#REF!</f>
        <v>#REF!</v>
      </c>
      <c r="AT26" s="438">
        <f ca="1">IFERROR(__xludf.DUMMYFUNCTION("GOOGLEFINANCE (""Currency:USDRON"")*Divident_all!L34"),0.11629160831106)</f>
        <v>0.11629160831106</v>
      </c>
      <c r="AU26" s="436"/>
      <c r="AV26" s="161"/>
      <c r="AW26" s="166"/>
    </row>
    <row r="27" spans="1:49" ht="12.75">
      <c r="A27" s="433"/>
      <c r="B27" s="433"/>
      <c r="C27" s="434"/>
      <c r="E27" s="433"/>
      <c r="F27" s="433"/>
      <c r="G27" s="433"/>
      <c r="I27" s="433" t="e">
        <f>Divident_all!#REF!</f>
        <v>#REF!</v>
      </c>
      <c r="J27" s="434">
        <f ca="1">IFERROR(__xludf.DUMMYFUNCTION("GOOGLEFINANCE (""Currency:USDRON"")*Divident_all!L60"),0.533914999899839)</f>
        <v>0.53391499989983904</v>
      </c>
      <c r="K27" s="435">
        <v>0.55000000000000004</v>
      </c>
      <c r="M27" s="433"/>
      <c r="N27" s="434"/>
      <c r="O27" s="434"/>
      <c r="P27" s="46"/>
      <c r="Q27" s="433"/>
      <c r="R27" s="434"/>
      <c r="S27" s="434"/>
      <c r="T27" s="46"/>
      <c r="U27" s="433" t="e">
        <f>Divident_all!#REF!</f>
        <v>#REF!</v>
      </c>
      <c r="V27" s="434">
        <f ca="1">IFERROR(__xludf.DUMMYFUNCTION("GOOGLEFINANCE (""Currency:USDRON"")*Divident_all!L60"),0.533914999899839)</f>
        <v>0.53391499989983904</v>
      </c>
      <c r="W27" s="434"/>
      <c r="X27" s="46"/>
      <c r="Y27" s="433"/>
      <c r="Z27" s="434"/>
      <c r="AA27" s="434"/>
      <c r="AB27" s="46"/>
      <c r="AC27" s="433"/>
      <c r="AD27" s="434"/>
      <c r="AE27" s="436"/>
      <c r="AF27" s="161"/>
      <c r="AG27" s="433" t="e">
        <f>Divident_all!#REF!</f>
        <v>#REF!</v>
      </c>
      <c r="AH27" s="434">
        <f ca="1">IFERROR(__xludf.DUMMYFUNCTION("GOOGLEFINANCE (""Currency:USDRON"")*Divident_all!L60"),0.533914999899839)</f>
        <v>0.53391499989983904</v>
      </c>
      <c r="AI27" s="436"/>
      <c r="AJ27" s="161"/>
      <c r="AK27" s="430"/>
      <c r="AL27" s="436"/>
      <c r="AM27" s="436"/>
      <c r="AN27" s="161"/>
      <c r="AO27" s="437"/>
      <c r="AP27" s="438"/>
      <c r="AQ27" s="436"/>
      <c r="AR27" s="161"/>
      <c r="AS27" s="437" t="e">
        <f>Divident_all!#REF!</f>
        <v>#REF!</v>
      </c>
      <c r="AT27" s="438">
        <f ca="1">IFERROR(__xludf.DUMMYFUNCTION("GOOGLEFINANCE (""Currency:USDRON"")*Divident_all!L60"),0.533914999899839)</f>
        <v>0.53391499989983904</v>
      </c>
      <c r="AU27" s="436"/>
      <c r="AV27" s="161"/>
      <c r="AW27" s="166"/>
    </row>
    <row r="28" spans="1:49" ht="12.75">
      <c r="A28" s="433"/>
      <c r="B28" s="433"/>
      <c r="C28" s="434"/>
      <c r="E28" s="433"/>
      <c r="F28" s="433"/>
      <c r="G28" s="433"/>
      <c r="I28" s="439" t="str">
        <f>Divident_special!B42</f>
        <v>GLPI</v>
      </c>
      <c r="J28" s="440">
        <f ca="1">IFERROR(__xludf.DUMMYFUNCTION("GOOGLEFINANCE (""Currency:USDRON"")*Divident_special!J42"),0.309108355042499)</f>
        <v>0.30910835504249901</v>
      </c>
      <c r="K28" s="441">
        <v>0.31</v>
      </c>
      <c r="M28" s="433"/>
      <c r="N28" s="434"/>
      <c r="O28" s="434"/>
      <c r="P28" s="46"/>
      <c r="Q28" s="433"/>
      <c r="R28" s="434"/>
      <c r="S28" s="434"/>
      <c r="T28" s="46"/>
      <c r="U28" s="433"/>
      <c r="V28" s="434"/>
      <c r="W28" s="434"/>
      <c r="X28" s="46"/>
      <c r="Y28" s="433"/>
      <c r="Z28" s="434"/>
      <c r="AA28" s="434"/>
      <c r="AB28" s="46"/>
      <c r="AC28" s="433"/>
      <c r="AD28" s="434"/>
      <c r="AE28" s="436"/>
      <c r="AF28" s="161"/>
      <c r="AG28" s="433"/>
      <c r="AH28" s="434"/>
      <c r="AI28" s="436"/>
      <c r="AJ28" s="161"/>
      <c r="AK28" s="430"/>
      <c r="AL28" s="436"/>
      <c r="AM28" s="436"/>
      <c r="AN28" s="161"/>
      <c r="AO28" s="437"/>
      <c r="AP28" s="438"/>
      <c r="AQ28" s="436"/>
      <c r="AR28" s="161"/>
      <c r="AS28" s="437" t="e">
        <f>Divident_all!#REF!</f>
        <v>#REF!</v>
      </c>
      <c r="AT28" s="438">
        <f ca="1">IFERROR(__xludf.DUMMYFUNCTION("GOOGLEFINANCE (""Currency:USDRON"")*Divident_all!L53"),0.775402322473349)</f>
        <v>0.77540232247334895</v>
      </c>
      <c r="AU28" s="436"/>
      <c r="AV28" s="161"/>
      <c r="AW28" s="166"/>
    </row>
    <row r="29" spans="1:49" ht="12.75">
      <c r="A29" s="433"/>
      <c r="B29" s="433"/>
      <c r="C29" s="434"/>
      <c r="E29" s="433"/>
      <c r="F29" s="433"/>
      <c r="G29" s="433"/>
      <c r="I29" s="433" t="e">
        <f>Divident_all!#REF!</f>
        <v>#REF!</v>
      </c>
      <c r="J29" s="434">
        <f ca="1">IFERROR(__xludf.DUMMYFUNCTION("GOOGLEFINANCE (""Currency:GBPRON"")*Divident_all!L27"),0.82701163400032)</f>
        <v>0.82701163400031996</v>
      </c>
      <c r="K29" s="435">
        <v>0.82</v>
      </c>
      <c r="M29" s="433"/>
      <c r="N29" s="434"/>
      <c r="O29" s="434"/>
      <c r="P29" s="46"/>
      <c r="Q29" s="433"/>
      <c r="R29" s="434"/>
      <c r="S29" s="434"/>
      <c r="T29" s="46"/>
      <c r="U29" s="433" t="e">
        <f>Divident_all!#REF!</f>
        <v>#REF!</v>
      </c>
      <c r="V29" s="434">
        <f ca="1">IFERROR(__xludf.DUMMYFUNCTION("GOOGLEFINANCE (""Currency:GBPRON"")*Divident_all!L27"),0.82701163400032)</f>
        <v>0.82701163400031996</v>
      </c>
      <c r="W29" s="434"/>
      <c r="X29" s="46"/>
      <c r="Y29" s="433"/>
      <c r="Z29" s="434"/>
      <c r="AA29" s="434"/>
      <c r="AB29" s="46"/>
      <c r="AC29" s="433"/>
      <c r="AD29" s="434"/>
      <c r="AE29" s="436"/>
      <c r="AF29" s="161"/>
      <c r="AG29" s="433"/>
      <c r="AH29" s="434"/>
      <c r="AI29" s="436"/>
      <c r="AJ29" s="161"/>
      <c r="AK29" s="430"/>
      <c r="AL29" s="436"/>
      <c r="AM29" s="436"/>
      <c r="AN29" s="161"/>
      <c r="AO29" s="437"/>
      <c r="AP29" s="438"/>
      <c r="AQ29" s="436"/>
      <c r="AR29" s="161"/>
      <c r="AS29" s="437"/>
      <c r="AT29" s="438"/>
      <c r="AU29" s="436"/>
      <c r="AV29" s="161"/>
      <c r="AW29" s="166"/>
    </row>
    <row r="30" spans="1:49" ht="12.75">
      <c r="A30" s="433"/>
      <c r="B30" s="433"/>
      <c r="C30" s="434"/>
      <c r="E30" s="433"/>
      <c r="F30" s="433"/>
      <c r="G30" s="433"/>
      <c r="I30" s="433" t="e">
        <f>Divident_all!#REF!</f>
        <v>#REF!</v>
      </c>
      <c r="J30" s="434">
        <f ca="1">IFERROR(__xludf.DUMMYFUNCTION("GOOGLEFINANCE (""Currency:USDRON"")*Divident_all!L62"),0.112652827220699)</f>
        <v>0.112652827220699</v>
      </c>
      <c r="K30" s="435">
        <v>0.12</v>
      </c>
      <c r="M30" s="433"/>
      <c r="N30" s="434"/>
      <c r="O30" s="434"/>
      <c r="P30" s="46"/>
      <c r="Q30" s="433"/>
      <c r="R30" s="434"/>
      <c r="S30" s="434"/>
      <c r="T30" s="46"/>
      <c r="U30" s="433" t="e">
        <f>Divident_all!#REF!</f>
        <v>#REF!</v>
      </c>
      <c r="V30" s="434">
        <f ca="1">IFERROR(__xludf.DUMMYFUNCTION("GOOGLEFINANCE (""Currency:USDRON"")*Divident_all!L62"),0.112652827220699)</f>
        <v>0.112652827220699</v>
      </c>
      <c r="W30" s="434"/>
      <c r="X30" s="46"/>
      <c r="Y30" s="433"/>
      <c r="Z30" s="434"/>
      <c r="AA30" s="434"/>
      <c r="AB30" s="46"/>
      <c r="AC30" s="433"/>
      <c r="AD30" s="434"/>
      <c r="AE30" s="436"/>
      <c r="AF30" s="161"/>
      <c r="AG30" s="433" t="e">
        <f>Divident_all!#REF!</f>
        <v>#REF!</v>
      </c>
      <c r="AH30" s="434">
        <f ca="1">IFERROR(__xludf.DUMMYFUNCTION("GOOGLEFINANCE (""Currency:USDRON"")*Divident_all!L62"),0.112652827220699)</f>
        <v>0.112652827220699</v>
      </c>
      <c r="AI30" s="436"/>
      <c r="AJ30" s="161"/>
      <c r="AK30" s="430"/>
      <c r="AL30" s="436"/>
      <c r="AM30" s="436"/>
      <c r="AN30" s="161"/>
      <c r="AO30" s="437"/>
      <c r="AP30" s="438"/>
      <c r="AQ30" s="436"/>
      <c r="AR30" s="161"/>
      <c r="AS30" s="437" t="e">
        <f>Divident_all!#REF!</f>
        <v>#REF!</v>
      </c>
      <c r="AT30" s="438">
        <f ca="1">IFERROR(__xludf.DUMMYFUNCTION("GOOGLEFINANCE (""Currency:USDRON"")*Divident_all!L62"),0.112652827220699)</f>
        <v>0.112652827220699</v>
      </c>
      <c r="AU30" s="436"/>
      <c r="AV30" s="161"/>
      <c r="AW30" s="166"/>
    </row>
    <row r="31" spans="1:49" ht="12.75">
      <c r="A31" s="433"/>
      <c r="B31" s="433"/>
      <c r="C31" s="434"/>
      <c r="E31" s="433"/>
      <c r="F31" s="433"/>
      <c r="G31" s="433"/>
      <c r="I31" s="433" t="e">
        <f>Divident_all!#REF!</f>
        <v>#REF!</v>
      </c>
      <c r="J31" s="434">
        <f ca="1">IFERROR(__xludf.DUMMYFUNCTION("GOOGLEFINANCE (""Currency:USDRON"")*Divident_all!L48"),2.302622602488)</f>
        <v>2.3026226024879999</v>
      </c>
      <c r="K31" s="435">
        <v>2.36</v>
      </c>
      <c r="M31" s="433"/>
      <c r="N31" s="434"/>
      <c r="O31" s="434"/>
      <c r="P31" s="46"/>
      <c r="Q31" s="433"/>
      <c r="R31" s="433"/>
      <c r="S31" s="434"/>
      <c r="T31" s="46"/>
      <c r="U31" s="433" t="e">
        <f>Divident_all!#REF!</f>
        <v>#REF!</v>
      </c>
      <c r="V31" s="434">
        <f ca="1">IFERROR(__xludf.DUMMYFUNCTION("GOOGLEFINANCE (""Currency:USDRON"")*Divident_all!L53"),0.775402322473349)</f>
        <v>0.77540232247334895</v>
      </c>
      <c r="W31" s="434"/>
      <c r="X31" s="46"/>
      <c r="Y31" s="433"/>
      <c r="Z31" s="434"/>
      <c r="AA31" s="434"/>
      <c r="AB31" s="46"/>
      <c r="AC31" s="433"/>
      <c r="AD31" s="433"/>
      <c r="AE31" s="436"/>
      <c r="AF31" s="431"/>
      <c r="AG31" s="433" t="e">
        <f>Divident_all!#REF!</f>
        <v>#REF!</v>
      </c>
      <c r="AH31" s="434">
        <f ca="1">IFERROR(__xludf.DUMMYFUNCTION("GOOGLEFINANCE (""Currency:USDRON"")*Divident_all!L53"),0.775402322473349)</f>
        <v>0.77540232247334895</v>
      </c>
      <c r="AI31" s="436"/>
      <c r="AJ31" s="431"/>
      <c r="AK31" s="430"/>
      <c r="AL31" s="436"/>
      <c r="AM31" s="436"/>
      <c r="AN31" s="431"/>
      <c r="AO31" s="433"/>
      <c r="AP31" s="433"/>
      <c r="AQ31" s="433"/>
      <c r="AR31" s="431"/>
      <c r="AS31" s="437" t="e">
        <f>Divident_all!#REF!</f>
        <v>#REF!</v>
      </c>
      <c r="AT31" s="438">
        <f ca="1">IFERROR(__xludf.DUMMYFUNCTION("GOOGLEFINANCE (""Currency:GBPRON"")*Divident_all!L53"),0.963282305208642)</f>
        <v>0.963282305208642</v>
      </c>
      <c r="AU31" s="436"/>
      <c r="AV31" s="431"/>
      <c r="AW31" s="166"/>
    </row>
    <row r="32" spans="1:49" ht="15.75" customHeight="1">
      <c r="A32" s="433"/>
      <c r="B32" s="433"/>
      <c r="C32" s="434"/>
      <c r="D32" s="444" t="s">
        <v>195</v>
      </c>
      <c r="E32" s="433"/>
      <c r="F32" s="433"/>
      <c r="G32" s="433"/>
      <c r="H32" s="444" t="s">
        <v>195</v>
      </c>
      <c r="I32" s="433" t="e">
        <f>Divident_all!#REF!</f>
        <v>#REF!</v>
      </c>
      <c r="J32" s="434">
        <f ca="1">IFERROR(__xludf.DUMMYFUNCTION("GOOGLEFINANCE (""Currency:USDRON"")*Divident_all!L49"),0.32051741436)</f>
        <v>0.32051741435999997</v>
      </c>
      <c r="K32" s="435">
        <v>0.3</v>
      </c>
      <c r="L32" s="444" t="s">
        <v>195</v>
      </c>
      <c r="M32" s="433"/>
      <c r="N32" s="434"/>
      <c r="O32" s="434"/>
      <c r="P32" s="444" t="s">
        <v>195</v>
      </c>
      <c r="Q32" s="433"/>
      <c r="R32" s="434"/>
      <c r="S32" s="434"/>
      <c r="T32" s="444" t="s">
        <v>195</v>
      </c>
      <c r="U32" s="433" t="e">
        <f>Divident_all!#REF!</f>
        <v>#REF!</v>
      </c>
      <c r="V32" s="434">
        <f ca="1">IFERROR(__xludf.DUMMYFUNCTION("GOOGLEFINANCE (""Currency:USDRON"")*Divident_all!L54"),0.360788390568449)</f>
        <v>0.36078839056844902</v>
      </c>
      <c r="W32" s="434"/>
      <c r="X32" s="444" t="s">
        <v>195</v>
      </c>
      <c r="Y32" s="433"/>
      <c r="Z32" s="434"/>
      <c r="AA32" s="434"/>
      <c r="AB32" s="444" t="s">
        <v>195</v>
      </c>
      <c r="AC32" s="437"/>
      <c r="AD32" s="445"/>
      <c r="AE32" s="436"/>
      <c r="AF32" s="446" t="s">
        <v>195</v>
      </c>
      <c r="AG32" s="433" t="e">
        <f>Divident_all!#REF!</f>
        <v>#REF!</v>
      </c>
      <c r="AH32" s="434">
        <f ca="1">IFERROR(__xludf.DUMMYFUNCTION("GOOGLEFINANCE (""Currency:USDRON"")*Divident_all!L54"),0.360788390568449)</f>
        <v>0.36078839056844902</v>
      </c>
      <c r="AI32" s="436"/>
      <c r="AJ32" s="446" t="s">
        <v>195</v>
      </c>
      <c r="AK32" s="430"/>
      <c r="AL32" s="436"/>
      <c r="AM32" s="436"/>
      <c r="AN32" s="446" t="s">
        <v>195</v>
      </c>
      <c r="AO32" s="433"/>
      <c r="AP32" s="433"/>
      <c r="AQ32" s="433"/>
      <c r="AR32" s="446" t="s">
        <v>195</v>
      </c>
      <c r="AS32" s="437" t="e">
        <f>Divident_all!#REF!</f>
        <v>#REF!</v>
      </c>
      <c r="AT32" s="438">
        <f ca="1">IFERROR(__xludf.DUMMYFUNCTION("GOOGLEFINANCE (""Currency:USDRON"")*Divident_all!L54"),0.360788390568449)</f>
        <v>0.36078839056844902</v>
      </c>
      <c r="AU32" s="436"/>
      <c r="AV32" s="446" t="s">
        <v>195</v>
      </c>
      <c r="AW32" s="166"/>
    </row>
    <row r="33" spans="1:49" ht="15.75" customHeight="1">
      <c r="A33" s="433"/>
      <c r="B33" s="433"/>
      <c r="C33" s="434"/>
      <c r="D33" s="447">
        <f>SUM(C2:C35)</f>
        <v>8.1300000000000008</v>
      </c>
      <c r="E33" s="433"/>
      <c r="F33" s="433"/>
      <c r="G33" s="433"/>
      <c r="H33" s="447">
        <f>SUM(G2:G35)</f>
        <v>14.629999999999999</v>
      </c>
      <c r="I33" s="433" t="e">
        <f>Divident_all!#REF!</f>
        <v>#REF!</v>
      </c>
      <c r="J33" s="434">
        <f ca="1">IFERROR(__xludf.DUMMYFUNCTION("GOOGLEFINANCE (""Currency:USDRON"")*Divident_all!L53"),0.775402322473349)</f>
        <v>0.77540232247334895</v>
      </c>
      <c r="K33" s="435">
        <v>0.79</v>
      </c>
      <c r="L33" s="447">
        <f>SUM(K2:K35)</f>
        <v>24.19</v>
      </c>
      <c r="M33" s="433"/>
      <c r="N33" s="434"/>
      <c r="O33" s="434"/>
      <c r="P33" s="447">
        <f>SUM(O2:O35)</f>
        <v>2.0499999999999998</v>
      </c>
      <c r="Q33" s="433"/>
      <c r="R33" s="434"/>
      <c r="S33" s="434"/>
      <c r="T33" s="447">
        <f>SUM(S2:S35)</f>
        <v>0</v>
      </c>
      <c r="U33" s="433" t="e">
        <f>Divident_all!#REF!</f>
        <v>#REF!</v>
      </c>
      <c r="V33" s="434">
        <f ca="1">IFERROR(__xludf.DUMMYFUNCTION("GOOGLEFINANCE (""Currency:USDRON"")*Divident_all!L55"),0.3952231217883)</f>
        <v>0.39522312178829999</v>
      </c>
      <c r="W33" s="434"/>
      <c r="X33" s="447">
        <f>SUM(W2:W35)</f>
        <v>0</v>
      </c>
      <c r="Y33" s="433"/>
      <c r="Z33" s="434"/>
      <c r="AA33" s="434"/>
      <c r="AB33" s="447">
        <f>SUM(AA2:AA35)</f>
        <v>0</v>
      </c>
      <c r="AC33" s="430"/>
      <c r="AD33" s="436"/>
      <c r="AE33" s="436"/>
      <c r="AF33" s="448">
        <f>SUM(AE2:AE35)</f>
        <v>0</v>
      </c>
      <c r="AG33" s="433" t="e">
        <f>Divident_all!#REF!</f>
        <v>#REF!</v>
      </c>
      <c r="AH33" s="434">
        <f ca="1">IFERROR(__xludf.DUMMYFUNCTION("GOOGLEFINANCE (""Currency:USDRON"")*Divident_all!L55"),0.3952231217883)</f>
        <v>0.39522312178829999</v>
      </c>
      <c r="AI33" s="436"/>
      <c r="AJ33" s="448">
        <f>SUM(AI2:AI35)</f>
        <v>0</v>
      </c>
      <c r="AK33" s="430"/>
      <c r="AL33" s="436"/>
      <c r="AM33" s="436"/>
      <c r="AN33" s="448">
        <f>SUM(AM2:AM35)</f>
        <v>0</v>
      </c>
      <c r="AO33" s="437"/>
      <c r="AP33" s="445"/>
      <c r="AQ33" s="445"/>
      <c r="AR33" s="448">
        <f>SUM(AQ2:AQ35)</f>
        <v>0</v>
      </c>
      <c r="AS33" s="437" t="e">
        <f>Divident_all!#REF!</f>
        <v>#REF!</v>
      </c>
      <c r="AT33" s="438">
        <f ca="1">IFERROR(__xludf.DUMMYFUNCTION("GOOGLEFINANCE (""Currency:EURRON"")*Divident_all!L6"),0.594145312064508)</f>
        <v>0.59414531206450805</v>
      </c>
      <c r="AU33" s="436"/>
      <c r="AV33" s="448">
        <f>SUM(AU2:AU35)</f>
        <v>0</v>
      </c>
      <c r="AW33" s="166"/>
    </row>
    <row r="34" spans="1:49" ht="15.75" customHeight="1">
      <c r="A34" s="433"/>
      <c r="B34" s="433"/>
      <c r="C34" s="434"/>
      <c r="D34" s="444" t="s">
        <v>196</v>
      </c>
      <c r="E34" s="433"/>
      <c r="F34" s="433"/>
      <c r="G34" s="433"/>
      <c r="H34" s="444" t="s">
        <v>196</v>
      </c>
      <c r="I34" s="433" t="e">
        <f>Divident_all!#REF!</f>
        <v>#REF!</v>
      </c>
      <c r="J34" s="434">
        <f ca="1">IFERROR(__xludf.DUMMYFUNCTION("GOOGLEFINANCE (""Currency:USDRON"")*Divident_all!L54"),0.360788390568449)</f>
        <v>0.36078839056844902</v>
      </c>
      <c r="K34" s="435">
        <v>0.37</v>
      </c>
      <c r="L34" s="444" t="s">
        <v>196</v>
      </c>
      <c r="M34" s="433"/>
      <c r="N34" s="434"/>
      <c r="O34" s="434"/>
      <c r="P34" s="444" t="s">
        <v>196</v>
      </c>
      <c r="Q34" s="433"/>
      <c r="R34" s="434"/>
      <c r="S34" s="434"/>
      <c r="T34" s="444" t="s">
        <v>196</v>
      </c>
      <c r="U34" s="433"/>
      <c r="V34" s="434"/>
      <c r="W34" s="434"/>
      <c r="X34" s="444" t="s">
        <v>196</v>
      </c>
      <c r="Y34" s="433"/>
      <c r="Z34" s="434"/>
      <c r="AA34" s="434"/>
      <c r="AB34" s="444" t="s">
        <v>196</v>
      </c>
      <c r="AC34" s="430"/>
      <c r="AD34" s="436"/>
      <c r="AE34" s="436"/>
      <c r="AF34" s="446" t="s">
        <v>196</v>
      </c>
      <c r="AG34" s="430"/>
      <c r="AH34" s="436"/>
      <c r="AI34" s="436"/>
      <c r="AJ34" s="446" t="s">
        <v>196</v>
      </c>
      <c r="AK34" s="430"/>
      <c r="AL34" s="436"/>
      <c r="AM34" s="436"/>
      <c r="AN34" s="446" t="s">
        <v>196</v>
      </c>
      <c r="AO34" s="430"/>
      <c r="AP34" s="436"/>
      <c r="AQ34" s="436"/>
      <c r="AR34" s="446" t="s">
        <v>196</v>
      </c>
      <c r="AS34" s="430"/>
      <c r="AT34" s="436"/>
      <c r="AU34" s="436"/>
      <c r="AV34" s="446" t="s">
        <v>196</v>
      </c>
      <c r="AW34" s="166"/>
    </row>
    <row r="35" spans="1:49" ht="15.75" customHeight="1">
      <c r="A35" s="433"/>
      <c r="B35" s="433"/>
      <c r="C35" s="434"/>
      <c r="D35" s="449">
        <f ca="1">SUM(B4:B35)</f>
        <v>13.049865881671824</v>
      </c>
      <c r="E35" s="433"/>
      <c r="F35" s="433"/>
      <c r="G35" s="433"/>
      <c r="H35" s="449">
        <f ca="1">SUM(F4:F35)</f>
        <v>18.81069875122304</v>
      </c>
      <c r="I35" s="433" t="e">
        <f>Divident_all!#REF!</f>
        <v>#REF!</v>
      </c>
      <c r="J35" s="434">
        <f ca="1">IFERROR(__xludf.DUMMYFUNCTION("GOOGLEFINANCE (""Currency:USDRON"")*Divident_all!L55"),0.3952231217883)</f>
        <v>0.39522312178829999</v>
      </c>
      <c r="K35" s="435">
        <v>0.41</v>
      </c>
      <c r="L35" s="449">
        <f ca="1">SUM(J4:J35)</f>
        <v>24.614516978611121</v>
      </c>
      <c r="M35" s="433"/>
      <c r="N35" s="434"/>
      <c r="O35" s="434"/>
      <c r="P35" s="449">
        <f ca="1">SUM(N4:N35)</f>
        <v>14.189471251610232</v>
      </c>
      <c r="Q35" s="433"/>
      <c r="R35" s="434"/>
      <c r="S35" s="434"/>
      <c r="T35" s="449">
        <f ca="1">SUM(R4:R35)</f>
        <v>18.918912612062552</v>
      </c>
      <c r="U35" s="433"/>
      <c r="V35" s="434"/>
      <c r="W35" s="434"/>
      <c r="X35" s="449">
        <f ca="1">SUM(V4:V35)</f>
        <v>20.263531017866327</v>
      </c>
      <c r="Y35" s="433"/>
      <c r="Z35" s="434"/>
      <c r="AA35" s="434"/>
      <c r="AB35" s="449">
        <f ca="1">SUM(Z4:Z35)</f>
        <v>13.595325939545724</v>
      </c>
      <c r="AC35" s="430"/>
      <c r="AD35" s="436"/>
      <c r="AE35" s="436"/>
      <c r="AF35" s="450">
        <f ca="1">SUM(AD4:AD35)</f>
        <v>19.745924246062874</v>
      </c>
      <c r="AG35" s="430"/>
      <c r="AH35" s="436"/>
      <c r="AI35" s="436"/>
      <c r="AJ35" s="450">
        <f ca="1">SUM(AH4:AH35)</f>
        <v>19.436519383866006</v>
      </c>
      <c r="AK35" s="430"/>
      <c r="AL35" s="436"/>
      <c r="AM35" s="436"/>
      <c r="AN35" s="450">
        <f ca="1">SUM(AL4:AL35)</f>
        <v>13.736453469623433</v>
      </c>
      <c r="AO35" s="430"/>
      <c r="AP35" s="436"/>
      <c r="AQ35" s="436"/>
      <c r="AR35" s="450">
        <f ca="1">SUM(AP4:AP35)</f>
        <v>20.141147367851175</v>
      </c>
      <c r="AS35" s="430"/>
      <c r="AT35" s="436"/>
      <c r="AU35" s="436"/>
      <c r="AV35" s="450">
        <f ca="1">SUM(AT4:AT35)</f>
        <v>20.635457344083839</v>
      </c>
      <c r="AW35" s="166"/>
    </row>
    <row r="38" spans="1:49" ht="12.75">
      <c r="B38" s="101" t="s">
        <v>197</v>
      </c>
      <c r="C38" s="101" t="s">
        <v>198</v>
      </c>
      <c r="D38" s="101" t="s">
        <v>199</v>
      </c>
      <c r="E38" s="101" t="s">
        <v>200</v>
      </c>
      <c r="F38" s="451" t="s">
        <v>201</v>
      </c>
    </row>
    <row r="39" spans="1:49" ht="17.25">
      <c r="A39" s="102" t="s">
        <v>43</v>
      </c>
      <c r="B39" s="452">
        <f t="shared" ref="B39:B40" si="0">K6</f>
        <v>2.58</v>
      </c>
      <c r="C39" s="452">
        <f t="shared" ref="C39:C40" si="1">W4</f>
        <v>0</v>
      </c>
      <c r="D39" s="452">
        <f t="shared" ref="D39:D40" si="2">AI4</f>
        <v>0</v>
      </c>
      <c r="E39" s="452">
        <f t="shared" ref="E39:E40" si="3">AU4</f>
        <v>0</v>
      </c>
      <c r="F39" s="452">
        <f t="shared" ref="F39:F100" si="4">SUM(B39:E39)</f>
        <v>2.58</v>
      </c>
    </row>
    <row r="40" spans="1:49" ht="17.25">
      <c r="A40" s="105" t="s">
        <v>45</v>
      </c>
      <c r="B40" s="453">
        <f t="shared" si="0"/>
        <v>0.56000000000000005</v>
      </c>
      <c r="C40" s="453">
        <f t="shared" si="1"/>
        <v>0</v>
      </c>
      <c r="D40" s="453">
        <f t="shared" si="2"/>
        <v>0</v>
      </c>
      <c r="E40" s="453">
        <f t="shared" si="3"/>
        <v>0</v>
      </c>
      <c r="F40" s="453">
        <f t="shared" si="4"/>
        <v>0.56000000000000005</v>
      </c>
    </row>
    <row r="41" spans="1:49" ht="17.25">
      <c r="A41" s="109" t="s">
        <v>47</v>
      </c>
      <c r="B41" s="453">
        <f>C13</f>
        <v>0.04</v>
      </c>
      <c r="C41" s="453">
        <f>O14</f>
        <v>0.11</v>
      </c>
      <c r="D41" s="453">
        <f>AA13</f>
        <v>0</v>
      </c>
      <c r="E41" s="453">
        <f>AM13</f>
        <v>0</v>
      </c>
      <c r="F41" s="453">
        <f t="shared" si="4"/>
        <v>0.15</v>
      </c>
    </row>
    <row r="42" spans="1:49" ht="17.25">
      <c r="A42" s="105" t="s">
        <v>49</v>
      </c>
      <c r="B42" s="107">
        <v>0</v>
      </c>
      <c r="C42" s="453">
        <f>O13</f>
        <v>0</v>
      </c>
      <c r="D42" s="107"/>
      <c r="E42" s="453">
        <f>O21</f>
        <v>0</v>
      </c>
      <c r="F42" s="453">
        <f t="shared" si="4"/>
        <v>0</v>
      </c>
    </row>
    <row r="43" spans="1:49" ht="17.25">
      <c r="A43" s="109" t="s">
        <v>50</v>
      </c>
      <c r="B43" s="453">
        <f t="shared" ref="B43:B44" si="5">K8</f>
        <v>1.29</v>
      </c>
      <c r="C43" s="453">
        <f t="shared" ref="C43:C44" si="6">W6</f>
        <v>0</v>
      </c>
      <c r="D43" s="107"/>
      <c r="E43" s="453">
        <f>O15</f>
        <v>0</v>
      </c>
      <c r="F43" s="453">
        <f t="shared" si="4"/>
        <v>1.29</v>
      </c>
    </row>
    <row r="44" spans="1:49" ht="17.25">
      <c r="A44" s="105" t="s">
        <v>51</v>
      </c>
      <c r="B44" s="453">
        <f t="shared" si="5"/>
        <v>0.1</v>
      </c>
      <c r="C44" s="453">
        <f t="shared" si="6"/>
        <v>0</v>
      </c>
      <c r="D44" s="107"/>
      <c r="E44" s="453">
        <f>O33</f>
        <v>0</v>
      </c>
      <c r="F44" s="453">
        <f t="shared" si="4"/>
        <v>0.1</v>
      </c>
    </row>
    <row r="45" spans="1:49" ht="17.25">
      <c r="A45" s="109" t="s">
        <v>52</v>
      </c>
      <c r="B45" s="107">
        <v>0</v>
      </c>
      <c r="C45" s="453">
        <f t="shared" ref="C45:C46" si="7">O4</f>
        <v>0.65</v>
      </c>
      <c r="D45" s="107"/>
      <c r="E45" s="107"/>
      <c r="F45" s="453">
        <f t="shared" si="4"/>
        <v>0.65</v>
      </c>
    </row>
    <row r="46" spans="1:49" ht="17.25">
      <c r="A46" s="105" t="s">
        <v>53</v>
      </c>
      <c r="B46" s="453">
        <f>C5</f>
        <v>1.5</v>
      </c>
      <c r="C46" s="453">
        <f t="shared" si="7"/>
        <v>0</v>
      </c>
      <c r="D46" s="453">
        <f>AA5</f>
        <v>0</v>
      </c>
      <c r="E46" s="453">
        <f>AM5</f>
        <v>0</v>
      </c>
      <c r="F46" s="453">
        <f t="shared" si="4"/>
        <v>1.5</v>
      </c>
    </row>
    <row r="47" spans="1:49" ht="17.25">
      <c r="A47" s="109" t="s">
        <v>54</v>
      </c>
      <c r="B47" s="453">
        <f>G6</f>
        <v>0.74</v>
      </c>
      <c r="C47" s="453">
        <f>S4</f>
        <v>0</v>
      </c>
      <c r="D47" s="453">
        <f>AE4</f>
        <v>0</v>
      </c>
      <c r="E47" s="453">
        <f>AQ4</f>
        <v>0</v>
      </c>
      <c r="F47" s="453">
        <f t="shared" si="4"/>
        <v>0.74</v>
      </c>
    </row>
    <row r="48" spans="1:49" ht="17.25">
      <c r="A48" s="105" t="s">
        <v>56</v>
      </c>
      <c r="B48" s="453">
        <f>C12</f>
        <v>0.62</v>
      </c>
      <c r="C48" s="453">
        <f>O12</f>
        <v>0.94</v>
      </c>
      <c r="D48" s="453">
        <f>AA12</f>
        <v>0</v>
      </c>
      <c r="E48" s="453">
        <f>AM12</f>
        <v>0</v>
      </c>
      <c r="F48" s="453">
        <f t="shared" si="4"/>
        <v>1.56</v>
      </c>
    </row>
    <row r="49" spans="1:6" ht="17.25">
      <c r="A49" s="109" t="s">
        <v>57</v>
      </c>
      <c r="B49" s="453">
        <f>G20</f>
        <v>0.95</v>
      </c>
      <c r="C49" s="453">
        <f>S23</f>
        <v>0</v>
      </c>
      <c r="D49" s="453">
        <f>AE23</f>
        <v>0</v>
      </c>
      <c r="E49" s="453">
        <f>AQ25</f>
        <v>0</v>
      </c>
      <c r="F49" s="453">
        <f t="shared" si="4"/>
        <v>0.95</v>
      </c>
    </row>
    <row r="50" spans="1:6" ht="17.25">
      <c r="A50" s="105" t="s">
        <v>58</v>
      </c>
      <c r="B50" s="453">
        <f>C4+K10</f>
        <v>0.69</v>
      </c>
      <c r="C50" s="453">
        <f>W8</f>
        <v>0</v>
      </c>
      <c r="D50" s="453">
        <f>AI8</f>
        <v>0</v>
      </c>
      <c r="E50" s="107"/>
      <c r="F50" s="453">
        <f t="shared" si="4"/>
        <v>0.69</v>
      </c>
    </row>
    <row r="51" spans="1:6" ht="17.25">
      <c r="A51" s="109" t="s">
        <v>59</v>
      </c>
      <c r="B51" s="453">
        <f t="shared" ref="B51:B52" si="8">G12</f>
        <v>0.3</v>
      </c>
      <c r="C51" s="453">
        <f t="shared" ref="C51:C52" si="9">S5</f>
        <v>0</v>
      </c>
      <c r="D51" s="453">
        <f t="shared" ref="D51:D52" si="10">AE5</f>
        <v>0</v>
      </c>
      <c r="E51" s="453">
        <f t="shared" ref="E51:E52" si="11">AQ5</f>
        <v>0</v>
      </c>
      <c r="F51" s="453">
        <f t="shared" si="4"/>
        <v>0.3</v>
      </c>
    </row>
    <row r="52" spans="1:6" ht="17.25">
      <c r="A52" s="105" t="s">
        <v>60</v>
      </c>
      <c r="B52" s="453">
        <f t="shared" si="8"/>
        <v>0.37</v>
      </c>
      <c r="C52" s="453">
        <f t="shared" si="9"/>
        <v>0</v>
      </c>
      <c r="D52" s="453">
        <f t="shared" si="10"/>
        <v>0</v>
      </c>
      <c r="E52" s="453">
        <f t="shared" si="11"/>
        <v>0</v>
      </c>
      <c r="F52" s="453">
        <f t="shared" si="4"/>
        <v>0.37</v>
      </c>
    </row>
    <row r="53" spans="1:6" ht="17.25">
      <c r="A53" s="109" t="s">
        <v>61</v>
      </c>
      <c r="B53" s="453">
        <f>C16</f>
        <v>0.15</v>
      </c>
      <c r="C53" s="453">
        <f>O17</f>
        <v>0.35</v>
      </c>
      <c r="D53" s="453">
        <f>AA16</f>
        <v>0</v>
      </c>
      <c r="E53" s="453">
        <f>AM16</f>
        <v>0</v>
      </c>
      <c r="F53" s="453">
        <f t="shared" si="4"/>
        <v>0.5</v>
      </c>
    </row>
    <row r="54" spans="1:6" ht="17.25">
      <c r="A54" s="105" t="s">
        <v>62</v>
      </c>
      <c r="B54" s="453">
        <f>K4</f>
        <v>0.31</v>
      </c>
      <c r="C54" s="453">
        <f>S7</f>
        <v>0</v>
      </c>
      <c r="D54" s="107"/>
      <c r="E54" s="453">
        <f>O31</f>
        <v>0</v>
      </c>
      <c r="F54" s="453">
        <f t="shared" si="4"/>
        <v>0.31</v>
      </c>
    </row>
    <row r="55" spans="1:6" ht="17.25">
      <c r="A55" s="109" t="s">
        <v>63</v>
      </c>
      <c r="B55" s="453">
        <f>C17</f>
        <v>0.11</v>
      </c>
      <c r="C55" s="453">
        <f>O18</f>
        <v>0</v>
      </c>
      <c r="D55" s="453">
        <f>AA17</f>
        <v>0</v>
      </c>
      <c r="E55" s="453">
        <f>AM17</f>
        <v>0</v>
      </c>
      <c r="F55" s="453">
        <f t="shared" si="4"/>
        <v>0.11</v>
      </c>
    </row>
    <row r="56" spans="1:6" ht="17.25">
      <c r="A56" s="105" t="s">
        <v>64</v>
      </c>
      <c r="B56" s="453">
        <f>K11</f>
        <v>0.36</v>
      </c>
      <c r="C56" s="453">
        <f>W9</f>
        <v>0</v>
      </c>
      <c r="D56" s="107"/>
      <c r="E56" s="453">
        <f>O20</f>
        <v>0</v>
      </c>
      <c r="F56" s="453">
        <f t="shared" si="4"/>
        <v>0.36</v>
      </c>
    </row>
    <row r="57" spans="1:6" ht="17.25">
      <c r="A57" s="109" t="s">
        <v>65</v>
      </c>
      <c r="B57" s="453">
        <f>G14</f>
        <v>0.74</v>
      </c>
      <c r="C57" s="453">
        <f>S8</f>
        <v>0</v>
      </c>
      <c r="D57" s="453">
        <f>AE8</f>
        <v>0</v>
      </c>
      <c r="E57" s="453">
        <f>AQ8</f>
        <v>0</v>
      </c>
      <c r="F57" s="453">
        <f t="shared" si="4"/>
        <v>0.74</v>
      </c>
    </row>
    <row r="58" spans="1:6" ht="17.25">
      <c r="A58" s="105" t="s">
        <v>66</v>
      </c>
      <c r="B58" s="453">
        <f>K24</f>
        <v>1.44</v>
      </c>
      <c r="C58" s="453">
        <f>W24</f>
        <v>0</v>
      </c>
      <c r="D58" s="107"/>
      <c r="E58" s="453">
        <f>O30</f>
        <v>0</v>
      </c>
      <c r="F58" s="453">
        <f t="shared" si="4"/>
        <v>1.44</v>
      </c>
    </row>
    <row r="59" spans="1:6" ht="17.25">
      <c r="A59" s="109" t="s">
        <v>67</v>
      </c>
      <c r="B59" s="453">
        <f>K12</f>
        <v>0.42</v>
      </c>
      <c r="C59" s="453">
        <f>W10</f>
        <v>0</v>
      </c>
      <c r="D59" s="453">
        <f>AI10</f>
        <v>0</v>
      </c>
      <c r="E59" s="453">
        <f>AU10</f>
        <v>0</v>
      </c>
      <c r="F59" s="453">
        <f t="shared" si="4"/>
        <v>0.42</v>
      </c>
    </row>
    <row r="60" spans="1:6" ht="17.25">
      <c r="A60" s="105" t="s">
        <v>68</v>
      </c>
      <c r="B60" s="453">
        <f>K21</f>
        <v>0.84</v>
      </c>
      <c r="C60" s="453">
        <f>W21</f>
        <v>0</v>
      </c>
      <c r="D60" s="453">
        <f>AI21</f>
        <v>0</v>
      </c>
      <c r="E60" s="453">
        <f>AU21</f>
        <v>0</v>
      </c>
      <c r="F60" s="453">
        <f t="shared" si="4"/>
        <v>0.84</v>
      </c>
    </row>
    <row r="61" spans="1:6" ht="17.25">
      <c r="A61" s="109" t="s">
        <v>69</v>
      </c>
      <c r="B61" s="453">
        <f>K23</f>
        <v>1.1100000000000001</v>
      </c>
      <c r="C61" s="453">
        <f>W23</f>
        <v>0</v>
      </c>
      <c r="D61" s="453">
        <f>AI23</f>
        <v>0</v>
      </c>
      <c r="E61" s="453">
        <f>AU31</f>
        <v>0</v>
      </c>
      <c r="F61" s="453">
        <f t="shared" si="4"/>
        <v>1.1100000000000001</v>
      </c>
    </row>
    <row r="62" spans="1:6" ht="17.25">
      <c r="A62" s="105" t="s">
        <v>70</v>
      </c>
      <c r="B62" s="453">
        <f>K13</f>
        <v>1.32</v>
      </c>
      <c r="C62" s="453">
        <f>W11</f>
        <v>0</v>
      </c>
      <c r="D62" s="107"/>
      <c r="E62" s="453">
        <f>O32</f>
        <v>0</v>
      </c>
      <c r="F62" s="453">
        <f t="shared" si="4"/>
        <v>1.32</v>
      </c>
    </row>
    <row r="63" spans="1:6" ht="17.25">
      <c r="A63" s="109" t="s">
        <v>71</v>
      </c>
      <c r="B63" s="453">
        <f>K29</f>
        <v>0.82</v>
      </c>
      <c r="C63" s="453">
        <f>W29</f>
        <v>0</v>
      </c>
      <c r="D63" s="453">
        <f>W29</f>
        <v>0</v>
      </c>
      <c r="E63" s="453">
        <f>AQ24</f>
        <v>0</v>
      </c>
      <c r="F63" s="453">
        <f t="shared" si="4"/>
        <v>0.82</v>
      </c>
    </row>
    <row r="64" spans="1:6" ht="17.25">
      <c r="A64" s="105" t="s">
        <v>72</v>
      </c>
      <c r="B64" s="453">
        <f>C11</f>
        <v>0.39</v>
      </c>
      <c r="C64" s="453">
        <f>O6</f>
        <v>0</v>
      </c>
      <c r="D64" s="453">
        <f>AA6</f>
        <v>0</v>
      </c>
      <c r="E64" s="453">
        <f>AM6</f>
        <v>0</v>
      </c>
      <c r="F64" s="453">
        <f t="shared" si="4"/>
        <v>0.39</v>
      </c>
    </row>
    <row r="65" spans="1:6" ht="17.25">
      <c r="A65" s="109" t="s">
        <v>73</v>
      </c>
      <c r="B65" s="453">
        <f>G15</f>
        <v>1.47</v>
      </c>
      <c r="C65" s="453">
        <f>S8</f>
        <v>0</v>
      </c>
      <c r="D65" s="453">
        <f>AE9</f>
        <v>0</v>
      </c>
      <c r="E65" s="453">
        <f>AQ9</f>
        <v>0</v>
      </c>
      <c r="F65" s="453">
        <f t="shared" si="4"/>
        <v>1.47</v>
      </c>
    </row>
    <row r="66" spans="1:6" ht="17.25">
      <c r="A66" s="105" t="s">
        <v>74</v>
      </c>
      <c r="B66" s="453">
        <f>C14</f>
        <v>0.08</v>
      </c>
      <c r="C66" s="453">
        <f>O15</f>
        <v>0</v>
      </c>
      <c r="D66" s="453">
        <f>AA14</f>
        <v>0</v>
      </c>
      <c r="E66" s="453">
        <f>AM14</f>
        <v>0</v>
      </c>
      <c r="F66" s="453">
        <f t="shared" si="4"/>
        <v>0.08</v>
      </c>
    </row>
    <row r="67" spans="1:6" ht="17.25">
      <c r="A67" s="109" t="s">
        <v>75</v>
      </c>
      <c r="B67" s="453">
        <f>C19+G24</f>
        <v>2.3199999999999998</v>
      </c>
      <c r="C67" s="453">
        <f>O20</f>
        <v>0</v>
      </c>
      <c r="D67" s="453">
        <f>AA19</f>
        <v>0</v>
      </c>
      <c r="E67" s="453">
        <f>AM19</f>
        <v>0</v>
      </c>
      <c r="F67" s="453">
        <f t="shared" si="4"/>
        <v>2.3199999999999998</v>
      </c>
    </row>
    <row r="68" spans="1:6" ht="17.25">
      <c r="A68" s="105" t="s">
        <v>76</v>
      </c>
      <c r="B68" s="453">
        <f>G22</f>
        <v>0.68</v>
      </c>
      <c r="C68" s="453">
        <f>S25</f>
        <v>0</v>
      </c>
      <c r="D68" s="453">
        <f>AE25</f>
        <v>0</v>
      </c>
      <c r="E68" s="453">
        <f>AQ26</f>
        <v>0</v>
      </c>
      <c r="F68" s="453">
        <f t="shared" si="4"/>
        <v>0.68</v>
      </c>
    </row>
    <row r="69" spans="1:6" ht="17.25">
      <c r="A69" s="105" t="s">
        <v>77</v>
      </c>
      <c r="B69" s="453">
        <f>K15</f>
        <v>0.2</v>
      </c>
      <c r="C69" s="453">
        <f>W13</f>
        <v>0</v>
      </c>
      <c r="D69" s="453">
        <f>AI13</f>
        <v>0</v>
      </c>
      <c r="E69" s="453">
        <f>O11</f>
        <v>0</v>
      </c>
      <c r="F69" s="453">
        <f t="shared" si="4"/>
        <v>0.2</v>
      </c>
    </row>
    <row r="70" spans="1:6" ht="17.25">
      <c r="A70" s="109" t="s">
        <v>78</v>
      </c>
      <c r="B70" s="453">
        <f>K26</f>
        <v>0.12</v>
      </c>
      <c r="C70" s="453">
        <f>W26</f>
        <v>0</v>
      </c>
      <c r="D70" s="453">
        <f>W26</f>
        <v>0</v>
      </c>
      <c r="E70" s="453">
        <f>AU26</f>
        <v>0</v>
      </c>
      <c r="F70" s="453">
        <f t="shared" si="4"/>
        <v>0.12</v>
      </c>
    </row>
    <row r="71" spans="1:6" ht="17.25">
      <c r="A71" s="105" t="s">
        <v>79</v>
      </c>
      <c r="B71" s="453">
        <f>K25</f>
        <v>0.24</v>
      </c>
      <c r="C71" s="453">
        <f>W25</f>
        <v>0</v>
      </c>
      <c r="D71" s="453">
        <f>AI25</f>
        <v>0</v>
      </c>
      <c r="E71" s="453">
        <f>AU25</f>
        <v>0</v>
      </c>
      <c r="F71" s="453">
        <f t="shared" si="4"/>
        <v>0.24</v>
      </c>
    </row>
    <row r="72" spans="1:6" ht="17.25">
      <c r="A72" s="105" t="s">
        <v>80</v>
      </c>
      <c r="B72" s="453">
        <f>K16</f>
        <v>0.26</v>
      </c>
      <c r="C72" s="453">
        <f>W14</f>
        <v>0</v>
      </c>
      <c r="D72" s="453">
        <f>AI14</f>
        <v>0</v>
      </c>
      <c r="E72" s="453">
        <f>AU14</f>
        <v>0</v>
      </c>
      <c r="F72" s="453">
        <f t="shared" si="4"/>
        <v>0.26</v>
      </c>
    </row>
    <row r="73" spans="1:6" ht="17.25">
      <c r="A73" s="109" t="s">
        <v>81</v>
      </c>
      <c r="B73" s="453">
        <f>G8</f>
        <v>0.26</v>
      </c>
      <c r="C73" s="453">
        <f t="shared" ref="C73:C75" si="12">S9</f>
        <v>0</v>
      </c>
      <c r="D73" s="453">
        <f t="shared" ref="D73:D75" si="13">AE10</f>
        <v>0</v>
      </c>
      <c r="E73" s="453">
        <f t="shared" ref="E73:E75" si="14">AQ10</f>
        <v>0</v>
      </c>
      <c r="F73" s="453">
        <f t="shared" si="4"/>
        <v>0.26</v>
      </c>
    </row>
    <row r="74" spans="1:6" ht="17.25">
      <c r="A74" s="105" t="s">
        <v>82</v>
      </c>
      <c r="B74" s="453">
        <f>G7</f>
        <v>0.12</v>
      </c>
      <c r="C74" s="453">
        <f t="shared" si="12"/>
        <v>0</v>
      </c>
      <c r="D74" s="453">
        <f t="shared" si="13"/>
        <v>0</v>
      </c>
      <c r="E74" s="453">
        <f t="shared" si="14"/>
        <v>0</v>
      </c>
      <c r="F74" s="453">
        <f t="shared" si="4"/>
        <v>0.12</v>
      </c>
    </row>
    <row r="75" spans="1:6" ht="17.25">
      <c r="A75" s="109" t="s">
        <v>83</v>
      </c>
      <c r="B75" s="453">
        <f>G11</f>
        <v>0.22</v>
      </c>
      <c r="C75" s="453">
        <f t="shared" si="12"/>
        <v>0</v>
      </c>
      <c r="D75" s="453">
        <f t="shared" si="13"/>
        <v>0</v>
      </c>
      <c r="E75" s="453">
        <f t="shared" si="14"/>
        <v>0</v>
      </c>
      <c r="F75" s="453">
        <f t="shared" si="4"/>
        <v>0.22</v>
      </c>
    </row>
    <row r="76" spans="1:6" ht="17.25">
      <c r="A76" s="105" t="s">
        <v>84</v>
      </c>
      <c r="B76" s="453">
        <f>C8+G16+K17</f>
        <v>3.95</v>
      </c>
      <c r="C76" s="453">
        <f>O7+S12+W15</f>
        <v>0</v>
      </c>
      <c r="D76" s="453">
        <f>AA7+AE13+AI15</f>
        <v>0</v>
      </c>
      <c r="E76" s="453">
        <f>AM7+AQ13+AU15</f>
        <v>0</v>
      </c>
      <c r="F76" s="453">
        <f t="shared" si="4"/>
        <v>3.95</v>
      </c>
    </row>
    <row r="77" spans="1:6" ht="17.25">
      <c r="A77" s="109" t="s">
        <v>85</v>
      </c>
      <c r="B77" s="453">
        <f>G23</f>
        <v>0.12</v>
      </c>
      <c r="C77" s="453">
        <f>O19</f>
        <v>0</v>
      </c>
      <c r="D77" s="453">
        <f>AA18</f>
        <v>0</v>
      </c>
      <c r="E77" s="453">
        <f>AM18</f>
        <v>0</v>
      </c>
      <c r="F77" s="453">
        <f t="shared" si="4"/>
        <v>0.12</v>
      </c>
    </row>
    <row r="78" spans="1:6" ht="17.25">
      <c r="A78" s="105" t="s">
        <v>86</v>
      </c>
      <c r="B78" s="453">
        <f>K18+K28</f>
        <v>1.22</v>
      </c>
      <c r="C78" s="453">
        <f>W16</f>
        <v>0</v>
      </c>
      <c r="D78" s="453">
        <f>AI16</f>
        <v>0</v>
      </c>
      <c r="E78" s="453">
        <f>O34</f>
        <v>0</v>
      </c>
      <c r="F78" s="453">
        <f t="shared" si="4"/>
        <v>1.22</v>
      </c>
    </row>
    <row r="79" spans="1:6" ht="17.25">
      <c r="A79" s="109" t="s">
        <v>87</v>
      </c>
      <c r="B79" s="453">
        <f>C9</f>
        <v>0.59</v>
      </c>
      <c r="C79" s="453">
        <f>O8</f>
        <v>0</v>
      </c>
      <c r="D79" s="453">
        <f>AA8</f>
        <v>0</v>
      </c>
      <c r="E79" s="453">
        <f>AM8</f>
        <v>0</v>
      </c>
      <c r="F79" s="453">
        <f t="shared" si="4"/>
        <v>0.59</v>
      </c>
    </row>
    <row r="80" spans="1:6" ht="17.25">
      <c r="A80" s="105" t="s">
        <v>88</v>
      </c>
      <c r="B80" s="453">
        <f>C10+G17+K20</f>
        <v>1.66</v>
      </c>
      <c r="C80" s="453">
        <f>O9+S14+W17</f>
        <v>0</v>
      </c>
      <c r="D80" s="453">
        <f>AA9+AE14+AI17</f>
        <v>0</v>
      </c>
      <c r="E80" s="453">
        <f>AM9+AQ14+AU17</f>
        <v>0</v>
      </c>
      <c r="F80" s="453">
        <f t="shared" si="4"/>
        <v>1.66</v>
      </c>
    </row>
    <row r="81" spans="1:6" ht="17.25">
      <c r="A81" s="109" t="s">
        <v>89</v>
      </c>
      <c r="B81" s="453">
        <f>G19</f>
        <v>0.92</v>
      </c>
      <c r="C81" s="453">
        <f>S19</f>
        <v>0</v>
      </c>
      <c r="D81" s="453">
        <f>AE19</f>
        <v>0</v>
      </c>
      <c r="E81" s="453">
        <f>AQ19</f>
        <v>0</v>
      </c>
      <c r="F81" s="453">
        <f t="shared" si="4"/>
        <v>0.92</v>
      </c>
    </row>
    <row r="82" spans="1:6" ht="17.25">
      <c r="A82" s="105" t="s">
        <v>90</v>
      </c>
      <c r="B82" s="453">
        <f>K19</f>
        <v>1.36</v>
      </c>
      <c r="C82" s="453">
        <f>W19</f>
        <v>0</v>
      </c>
      <c r="D82" s="453">
        <f>C18</f>
        <v>0</v>
      </c>
      <c r="E82" s="453">
        <f>O23</f>
        <v>0</v>
      </c>
      <c r="F82" s="453">
        <f t="shared" si="4"/>
        <v>1.36</v>
      </c>
    </row>
    <row r="83" spans="1:6" ht="17.25">
      <c r="A83" s="109" t="s">
        <v>91</v>
      </c>
      <c r="B83" s="453">
        <f>C15</f>
        <v>2.38</v>
      </c>
      <c r="C83" s="453">
        <f>O10</f>
        <v>0</v>
      </c>
      <c r="D83" s="453">
        <f>AA10</f>
        <v>0</v>
      </c>
      <c r="E83" s="453">
        <f>AM10</f>
        <v>0</v>
      </c>
      <c r="F83" s="453">
        <f t="shared" si="4"/>
        <v>2.38</v>
      </c>
    </row>
    <row r="84" spans="1:6" ht="17.25">
      <c r="A84" s="105" t="s">
        <v>92</v>
      </c>
      <c r="B84" s="453">
        <f t="shared" ref="B84:B85" si="15">K31</f>
        <v>2.36</v>
      </c>
      <c r="C84" s="453">
        <f>S15</f>
        <v>0</v>
      </c>
      <c r="D84" s="453">
        <f>AE15</f>
        <v>0</v>
      </c>
      <c r="E84" s="453">
        <f>AQ15</f>
        <v>0</v>
      </c>
      <c r="F84" s="453">
        <f t="shared" si="4"/>
        <v>2.36</v>
      </c>
    </row>
    <row r="85" spans="1:6" ht="17.25">
      <c r="A85" s="109" t="s">
        <v>93</v>
      </c>
      <c r="B85" s="453">
        <f t="shared" si="15"/>
        <v>0.3</v>
      </c>
      <c r="C85" s="453">
        <f>W18</f>
        <v>0</v>
      </c>
      <c r="D85" s="453">
        <f>AI18</f>
        <v>0</v>
      </c>
      <c r="E85" s="453">
        <f>AU18</f>
        <v>0</v>
      </c>
      <c r="F85" s="453">
        <f t="shared" si="4"/>
        <v>0.3</v>
      </c>
    </row>
    <row r="86" spans="1:6" ht="17.25">
      <c r="A86" s="105" t="s">
        <v>94</v>
      </c>
      <c r="B86" s="453">
        <f>C6</f>
        <v>0.21</v>
      </c>
      <c r="C86" s="453">
        <f>O11</f>
        <v>0</v>
      </c>
      <c r="D86" s="453">
        <f>AA11</f>
        <v>0</v>
      </c>
      <c r="E86" s="453">
        <f>AM11</f>
        <v>0</v>
      </c>
      <c r="F86" s="453">
        <f t="shared" si="4"/>
        <v>0.21</v>
      </c>
    </row>
    <row r="87" spans="1:6" ht="17.25">
      <c r="A87" s="109" t="s">
        <v>95</v>
      </c>
      <c r="B87" s="453">
        <f>K5</f>
        <v>0.18</v>
      </c>
      <c r="C87" s="453">
        <f>W20</f>
        <v>0</v>
      </c>
      <c r="D87" s="453">
        <f>AI20</f>
        <v>0</v>
      </c>
      <c r="E87" s="453">
        <f>AU20</f>
        <v>0</v>
      </c>
      <c r="F87" s="453">
        <f t="shared" si="4"/>
        <v>0.18</v>
      </c>
    </row>
    <row r="88" spans="1:6" ht="17.25">
      <c r="A88" s="105" t="s">
        <v>96</v>
      </c>
      <c r="B88" s="453">
        <f>G18</f>
        <v>0.05</v>
      </c>
      <c r="C88" s="453">
        <f>S16</f>
        <v>0</v>
      </c>
      <c r="D88" s="453">
        <f>AE16</f>
        <v>0</v>
      </c>
      <c r="E88" s="453">
        <f>AQ16</f>
        <v>0</v>
      </c>
      <c r="F88" s="453">
        <f t="shared" si="4"/>
        <v>0.05</v>
      </c>
    </row>
    <row r="89" spans="1:6" ht="17.25">
      <c r="A89" s="109" t="s">
        <v>97</v>
      </c>
      <c r="B89" s="453">
        <f t="shared" ref="B89:B91" si="16">K33</f>
        <v>0.79</v>
      </c>
      <c r="C89" s="453">
        <f t="shared" ref="C89:C91" si="17">W31</f>
        <v>0</v>
      </c>
      <c r="D89" s="453">
        <f t="shared" ref="D89:D91" si="18">AI31</f>
        <v>0</v>
      </c>
      <c r="E89" s="453">
        <f>AU28</f>
        <v>0</v>
      </c>
      <c r="F89" s="453">
        <f t="shared" si="4"/>
        <v>0.79</v>
      </c>
    </row>
    <row r="90" spans="1:6" ht="17.25">
      <c r="A90" s="105" t="s">
        <v>98</v>
      </c>
      <c r="B90" s="453">
        <f t="shared" si="16"/>
        <v>0.37</v>
      </c>
      <c r="C90" s="453">
        <f t="shared" si="17"/>
        <v>0</v>
      </c>
      <c r="D90" s="453">
        <f t="shared" si="18"/>
        <v>0</v>
      </c>
      <c r="E90" s="453">
        <f>AU32</f>
        <v>0</v>
      </c>
      <c r="F90" s="453">
        <f t="shared" si="4"/>
        <v>0.37</v>
      </c>
    </row>
    <row r="91" spans="1:6" ht="17.25">
      <c r="A91" s="109" t="s">
        <v>99</v>
      </c>
      <c r="B91" s="453">
        <f t="shared" si="16"/>
        <v>0.41</v>
      </c>
      <c r="C91" s="453">
        <f t="shared" si="17"/>
        <v>0</v>
      </c>
      <c r="D91" s="453">
        <f t="shared" si="18"/>
        <v>0</v>
      </c>
      <c r="E91" s="453">
        <f t="shared" ref="E91:E92" si="19">AQ17</f>
        <v>0</v>
      </c>
      <c r="F91" s="453">
        <f t="shared" si="4"/>
        <v>0.41</v>
      </c>
    </row>
    <row r="92" spans="1:6" ht="17.25">
      <c r="A92" s="105" t="s">
        <v>100</v>
      </c>
      <c r="B92" s="453">
        <f>G10</f>
        <v>0.54</v>
      </c>
      <c r="C92" s="453">
        <f t="shared" ref="C92:C93" si="20">S17</f>
        <v>0</v>
      </c>
      <c r="D92" s="453">
        <f t="shared" ref="D92:D93" si="21">AE17</f>
        <v>0</v>
      </c>
      <c r="E92" s="453">
        <f t="shared" si="19"/>
        <v>0</v>
      </c>
      <c r="F92" s="453">
        <f t="shared" si="4"/>
        <v>0.54</v>
      </c>
    </row>
    <row r="93" spans="1:6" ht="17.25">
      <c r="A93" s="109" t="s">
        <v>101</v>
      </c>
      <c r="B93" s="453">
        <f>G5</f>
        <v>0.93</v>
      </c>
      <c r="C93" s="453">
        <f t="shared" si="20"/>
        <v>0</v>
      </c>
      <c r="D93" s="453">
        <f t="shared" si="21"/>
        <v>0</v>
      </c>
      <c r="E93" s="453">
        <f>AQ20</f>
        <v>0</v>
      </c>
      <c r="F93" s="453">
        <f t="shared" si="4"/>
        <v>0.93</v>
      </c>
    </row>
    <row r="94" spans="1:6" ht="17.25">
      <c r="A94" s="105" t="s">
        <v>102</v>
      </c>
      <c r="B94" s="453">
        <f>G4</f>
        <v>0.75</v>
      </c>
      <c r="C94" s="453">
        <f>S20</f>
        <v>0</v>
      </c>
      <c r="D94" s="453">
        <f>AE20</f>
        <v>0</v>
      </c>
      <c r="E94" s="453">
        <f>AQ23</f>
        <v>0</v>
      </c>
      <c r="F94" s="453">
        <f t="shared" si="4"/>
        <v>0.75</v>
      </c>
    </row>
    <row r="95" spans="1:6" ht="17.25">
      <c r="A95" s="109" t="s">
        <v>103</v>
      </c>
      <c r="B95" s="453">
        <f>K22</f>
        <v>0.6</v>
      </c>
      <c r="C95" s="453">
        <f>W22</f>
        <v>0</v>
      </c>
      <c r="D95" s="453">
        <f>AI22</f>
        <v>0</v>
      </c>
      <c r="E95" s="453">
        <f>AU22</f>
        <v>0</v>
      </c>
      <c r="F95" s="453">
        <f t="shared" si="4"/>
        <v>0.6</v>
      </c>
    </row>
    <row r="96" spans="1:6" ht="17.25">
      <c r="A96" s="105" t="s">
        <v>104</v>
      </c>
      <c r="B96" s="453">
        <f>K27</f>
        <v>0.55000000000000004</v>
      </c>
      <c r="C96" s="453">
        <f>W27</f>
        <v>0</v>
      </c>
      <c r="D96" s="453">
        <f>AI27</f>
        <v>0</v>
      </c>
      <c r="E96" s="453">
        <f>AU27</f>
        <v>0</v>
      </c>
      <c r="F96" s="453">
        <f t="shared" si="4"/>
        <v>0.55000000000000004</v>
      </c>
    </row>
    <row r="97" spans="1:6" ht="17.25">
      <c r="A97" s="109" t="s">
        <v>105</v>
      </c>
      <c r="B97" s="453">
        <f>C20</f>
        <v>0.3</v>
      </c>
      <c r="C97" s="453">
        <f>O21</f>
        <v>0</v>
      </c>
      <c r="D97" s="453">
        <f>AA20</f>
        <v>0</v>
      </c>
      <c r="E97" s="453">
        <f>AM21</f>
        <v>0</v>
      </c>
      <c r="F97" s="453">
        <f t="shared" si="4"/>
        <v>0.3</v>
      </c>
    </row>
    <row r="98" spans="1:6" ht="17.25">
      <c r="A98" s="105" t="s">
        <v>106</v>
      </c>
      <c r="B98" s="453">
        <f>K30</f>
        <v>0.12</v>
      </c>
      <c r="C98" s="453">
        <f>W30</f>
        <v>0</v>
      </c>
      <c r="D98" s="453">
        <f>AI30</f>
        <v>0</v>
      </c>
      <c r="E98" s="453">
        <f>AU30</f>
        <v>0</v>
      </c>
      <c r="F98" s="453">
        <f t="shared" si="4"/>
        <v>0.12</v>
      </c>
    </row>
    <row r="99" spans="1:6" ht="17.25">
      <c r="A99" s="109" t="s">
        <v>107</v>
      </c>
      <c r="B99" s="453">
        <f>G21</f>
        <v>0.81</v>
      </c>
      <c r="C99" s="453">
        <f t="shared" ref="C99:C100" si="22">S21</f>
        <v>0</v>
      </c>
      <c r="D99" s="453">
        <f t="shared" ref="D99:D100" si="23">AE21</f>
        <v>0</v>
      </c>
      <c r="E99" s="453">
        <f t="shared" ref="E99:E100" si="24">AQ21</f>
        <v>0</v>
      </c>
      <c r="F99" s="453">
        <f t="shared" si="4"/>
        <v>0.81</v>
      </c>
    </row>
    <row r="100" spans="1:6" ht="17.25">
      <c r="A100" s="110" t="s">
        <v>108</v>
      </c>
      <c r="B100" s="454">
        <f>G9</f>
        <v>0.5</v>
      </c>
      <c r="C100" s="454">
        <f t="shared" si="22"/>
        <v>0</v>
      </c>
      <c r="D100" s="454">
        <f t="shared" si="23"/>
        <v>0</v>
      </c>
      <c r="E100" s="454">
        <f t="shared" si="24"/>
        <v>0</v>
      </c>
      <c r="F100" s="454">
        <f t="shared" si="4"/>
        <v>0.5</v>
      </c>
    </row>
  </sheetData>
  <conditionalFormatting sqref="B39:F100">
    <cfRule type="cellIs" dxfId="8" priority="1" operator="greaterThan">
      <formula>0</formula>
    </cfRule>
  </conditionalFormatting>
  <conditionalFormatting sqref="B39:F100">
    <cfRule type="cellIs" dxfId="7" priority="2" operator="lessThanOrEqual">
      <formula>0</formula>
    </cfRule>
  </conditionalFormatting>
  <conditionalFormatting sqref="M23">
    <cfRule type="notContainsBlanks" dxfId="6" priority="3">
      <formula>LEN(TRIM(M23))&gt;0</formula>
    </cfRule>
  </conditionalFormatting>
  <conditionalFormatting sqref="M23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PlanFinanciar</vt:lpstr>
      <vt:lpstr>Earnings_summary</vt:lpstr>
      <vt:lpstr>Intrisec_values</vt:lpstr>
      <vt:lpstr>Year - ROI</vt:lpstr>
      <vt:lpstr>Divident_all</vt:lpstr>
      <vt:lpstr>Divident_special</vt:lpstr>
      <vt:lpstr>Februarie_DI</vt:lpstr>
      <vt:lpstr>Ianuarie_DI</vt:lpstr>
      <vt:lpstr>2023</vt:lpstr>
      <vt:lpstr>Q_investment</vt:lpstr>
      <vt:lpstr>Martie_DI</vt:lpstr>
      <vt:lpstr>Aprilie_DI</vt:lpstr>
      <vt:lpstr>May_DI</vt:lpstr>
      <vt:lpstr>Iunie_DI</vt:lpstr>
      <vt:lpstr>Iulie_DI</vt:lpstr>
      <vt:lpstr>August_DI</vt:lpstr>
      <vt:lpstr>Septembrie_DI</vt:lpstr>
      <vt:lpstr>Octombrie_DI</vt:lpstr>
      <vt:lpstr>Noiembrie_DI</vt:lpstr>
      <vt:lpstr>Decembrie_DI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totolici.adrian totolici.adrian</cp:lastModifiedBy>
  <dcterms:modified xsi:type="dcterms:W3CDTF">2023-04-16T04:25:41Z</dcterms:modified>
</cp:coreProperties>
</file>