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Universal_App\src\test\resources\"/>
    </mc:Choice>
  </mc:AlternateContent>
  <xr:revisionPtr revIDLastSave="0" documentId="8_{3630DDD0-4551-4760-8A9E-884A0CD8EA9A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PlanFinanciar" sheetId="1" r:id="rId1"/>
    <sheet name="Earnings_summary" sheetId="2" r:id="rId2"/>
    <sheet name="Intrisec_values" sheetId="3" r:id="rId3"/>
    <sheet name="Year - ROI" sheetId="4" r:id="rId4"/>
    <sheet name="Divident_all" sheetId="5" r:id="rId5"/>
    <sheet name="Divident_special" sheetId="6" r:id="rId6"/>
    <sheet name="Q_investment" sheetId="7" r:id="rId7"/>
    <sheet name="Februarie_DI" sheetId="8" state="hidden" r:id="rId8"/>
    <sheet name="Ianuarie_DI" sheetId="9" state="hidden" r:id="rId9"/>
    <sheet name="Q_invest_detail" sheetId="10" r:id="rId10"/>
    <sheet name="2023" sheetId="11" r:id="rId11"/>
    <sheet name="May_DI" sheetId="12" r:id="rId12"/>
    <sheet name="Aprilie_DI" sheetId="13" state="hidden" r:id="rId13"/>
    <sheet name="Martie_DI" sheetId="14" state="hidden" r:id="rId14"/>
    <sheet name="Iunie_DI" sheetId="15" state="hidden" r:id="rId15"/>
    <sheet name="Iulie_DI" sheetId="16" state="hidden" r:id="rId16"/>
    <sheet name="August_DI" sheetId="17" state="hidden" r:id="rId17"/>
    <sheet name="Septembrie_DI" sheetId="18" state="hidden" r:id="rId18"/>
    <sheet name="Octombrie_DI" sheetId="19" state="hidden" r:id="rId19"/>
    <sheet name="Noiembrie_DI" sheetId="20" state="hidden" r:id="rId20"/>
    <sheet name="Decembrie_DI" sheetId="21" state="hidden" r:id="rId21"/>
    <sheet name="2022" sheetId="22" state="hidden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22" l="1"/>
  <c r="F98" i="22" s="1"/>
  <c r="F97" i="22"/>
  <c r="E97" i="22"/>
  <c r="E96" i="22"/>
  <c r="F96" i="22" s="1"/>
  <c r="F95" i="22"/>
  <c r="E94" i="22"/>
  <c r="F94" i="22" s="1"/>
  <c r="F93" i="22"/>
  <c r="E93" i="22"/>
  <c r="E92" i="22"/>
  <c r="F92" i="22" s="1"/>
  <c r="F91" i="22"/>
  <c r="E91" i="22"/>
  <c r="E90" i="22"/>
  <c r="F90" i="22" s="1"/>
  <c r="F89" i="22"/>
  <c r="E89" i="22"/>
  <c r="E88" i="22"/>
  <c r="F88" i="22" s="1"/>
  <c r="F87" i="22"/>
  <c r="E87" i="22"/>
  <c r="E86" i="22"/>
  <c r="F86" i="22" s="1"/>
  <c r="F85" i="22"/>
  <c r="E85" i="22"/>
  <c r="E84" i="22"/>
  <c r="F84" i="22" s="1"/>
  <c r="F83" i="22"/>
  <c r="E83" i="22"/>
  <c r="D83" i="22"/>
  <c r="E82" i="22"/>
  <c r="F82" i="22" s="1"/>
  <c r="F81" i="22"/>
  <c r="E81" i="22"/>
  <c r="E80" i="22"/>
  <c r="D80" i="22"/>
  <c r="F80" i="22" s="1"/>
  <c r="E79" i="22"/>
  <c r="F79" i="22" s="1"/>
  <c r="F78" i="22"/>
  <c r="E78" i="22"/>
  <c r="E77" i="22"/>
  <c r="F77" i="22" s="1"/>
  <c r="F76" i="22"/>
  <c r="E76" i="22"/>
  <c r="D76" i="22"/>
  <c r="F75" i="22"/>
  <c r="F74" i="22"/>
  <c r="E74" i="22"/>
  <c r="D74" i="22"/>
  <c r="E73" i="22"/>
  <c r="F73" i="22" s="1"/>
  <c r="F72" i="22"/>
  <c r="E72" i="22"/>
  <c r="E71" i="22"/>
  <c r="F71" i="22" s="1"/>
  <c r="F70" i="22"/>
  <c r="E70" i="22"/>
  <c r="E69" i="22"/>
  <c r="F69" i="22" s="1"/>
  <c r="F68" i="22"/>
  <c r="E68" i="22"/>
  <c r="E67" i="22"/>
  <c r="D67" i="22"/>
  <c r="F67" i="22" s="1"/>
  <c r="E66" i="22"/>
  <c r="F66" i="22" s="1"/>
  <c r="F65" i="22"/>
  <c r="E65" i="22"/>
  <c r="F64" i="22"/>
  <c r="E63" i="22"/>
  <c r="F63" i="22" s="1"/>
  <c r="F62" i="22"/>
  <c r="E62" i="22"/>
  <c r="F61" i="22"/>
  <c r="F60" i="22"/>
  <c r="E60" i="22"/>
  <c r="D60" i="22"/>
  <c r="E59" i="22"/>
  <c r="F59" i="22" s="1"/>
  <c r="F58" i="22"/>
  <c r="E58" i="22"/>
  <c r="E57" i="22"/>
  <c r="F57" i="22" s="1"/>
  <c r="F56" i="22"/>
  <c r="E56" i="22"/>
  <c r="E55" i="22"/>
  <c r="F55" i="22" s="1"/>
  <c r="F54" i="22"/>
  <c r="E54" i="22"/>
  <c r="D54" i="22"/>
  <c r="F53" i="22"/>
  <c r="F52" i="22"/>
  <c r="E52" i="22"/>
  <c r="F51" i="22"/>
  <c r="F50" i="22"/>
  <c r="E50" i="22"/>
  <c r="E49" i="22"/>
  <c r="F49" i="22" s="1"/>
  <c r="F48" i="22"/>
  <c r="D48" i="22"/>
  <c r="E47" i="22"/>
  <c r="F47" i="22" s="1"/>
  <c r="F46" i="22"/>
  <c r="E46" i="22"/>
  <c r="E45" i="22"/>
  <c r="F45" i="22" s="1"/>
  <c r="F44" i="22"/>
  <c r="E44" i="22"/>
  <c r="E43" i="22"/>
  <c r="F43" i="22" s="1"/>
  <c r="F42" i="22"/>
  <c r="E42" i="22"/>
  <c r="D42" i="22"/>
  <c r="E41" i="22"/>
  <c r="D41" i="22"/>
  <c r="F41" i="22" s="1"/>
  <c r="E40" i="22"/>
  <c r="F40" i="22" s="1"/>
  <c r="F39" i="22"/>
  <c r="F38" i="22"/>
  <c r="E38" i="22"/>
  <c r="D38" i="22"/>
  <c r="F37" i="22"/>
  <c r="E37" i="22"/>
  <c r="D37" i="22"/>
  <c r="N33" i="22"/>
  <c r="M33" i="22"/>
  <c r="N32" i="22"/>
  <c r="M32" i="22"/>
  <c r="P31" i="22"/>
  <c r="N31" i="22"/>
  <c r="M31" i="22"/>
  <c r="L31" i="22"/>
  <c r="H31" i="22"/>
  <c r="D31" i="22"/>
  <c r="N30" i="22"/>
  <c r="M30" i="22"/>
  <c r="N29" i="22"/>
  <c r="M29" i="22"/>
  <c r="N28" i="22"/>
  <c r="M28" i="22"/>
  <c r="N27" i="22"/>
  <c r="M27" i="22"/>
  <c r="N26" i="22"/>
  <c r="M26" i="22"/>
  <c r="N25" i="22"/>
  <c r="M25" i="22"/>
  <c r="J25" i="22"/>
  <c r="I25" i="22"/>
  <c r="N24" i="22"/>
  <c r="M24" i="22"/>
  <c r="J24" i="22"/>
  <c r="I24" i="22"/>
  <c r="N23" i="22"/>
  <c r="M23" i="22"/>
  <c r="J23" i="22"/>
  <c r="I23" i="22"/>
  <c r="N22" i="22"/>
  <c r="M22" i="22"/>
  <c r="J22" i="22"/>
  <c r="I22" i="22"/>
  <c r="N21" i="22"/>
  <c r="M21" i="22"/>
  <c r="J21" i="22"/>
  <c r="I21" i="22"/>
  <c r="N20" i="22"/>
  <c r="M20" i="22"/>
  <c r="J20" i="22"/>
  <c r="I20" i="22"/>
  <c r="N19" i="22"/>
  <c r="M19" i="22"/>
  <c r="J19" i="22"/>
  <c r="I19" i="22"/>
  <c r="J18" i="22"/>
  <c r="I18" i="22"/>
  <c r="B18" i="22"/>
  <c r="A18" i="22"/>
  <c r="N17" i="22"/>
  <c r="M17" i="22"/>
  <c r="B17" i="22"/>
  <c r="A17" i="22"/>
  <c r="N16" i="22"/>
  <c r="M16" i="22"/>
  <c r="J16" i="22"/>
  <c r="I16" i="22"/>
  <c r="B16" i="22"/>
  <c r="A16" i="22"/>
  <c r="N15" i="22"/>
  <c r="M15" i="22"/>
  <c r="J15" i="22"/>
  <c r="I15" i="22"/>
  <c r="B15" i="22"/>
  <c r="A15" i="22"/>
  <c r="N14" i="22"/>
  <c r="M14" i="22"/>
  <c r="J14" i="22"/>
  <c r="I14" i="22"/>
  <c r="B14" i="22"/>
  <c r="A14" i="22"/>
  <c r="N13" i="22"/>
  <c r="M13" i="22"/>
  <c r="J13" i="22"/>
  <c r="I13" i="22"/>
  <c r="F13" i="22"/>
  <c r="E13" i="22"/>
  <c r="B13" i="22"/>
  <c r="A13" i="22"/>
  <c r="N12" i="22"/>
  <c r="M12" i="22"/>
  <c r="J12" i="22"/>
  <c r="I12" i="22"/>
  <c r="F12" i="22"/>
  <c r="E12" i="22"/>
  <c r="B12" i="22"/>
  <c r="A12" i="22"/>
  <c r="N11" i="22"/>
  <c r="M11" i="22"/>
  <c r="J11" i="22"/>
  <c r="I11" i="22"/>
  <c r="F11" i="22"/>
  <c r="E11" i="22"/>
  <c r="B11" i="22"/>
  <c r="A11" i="22"/>
  <c r="N10" i="22"/>
  <c r="M10" i="22"/>
  <c r="J10" i="22"/>
  <c r="I10" i="22"/>
  <c r="F10" i="22"/>
  <c r="E10" i="22"/>
  <c r="B10" i="22"/>
  <c r="A10" i="22"/>
  <c r="N9" i="22"/>
  <c r="M9" i="22"/>
  <c r="J9" i="22"/>
  <c r="I9" i="22"/>
  <c r="F9" i="22"/>
  <c r="E9" i="22"/>
  <c r="B9" i="22"/>
  <c r="A9" i="22"/>
  <c r="N8" i="22"/>
  <c r="M8" i="22"/>
  <c r="J8" i="22"/>
  <c r="I8" i="22"/>
  <c r="F8" i="22"/>
  <c r="E8" i="22"/>
  <c r="B8" i="22"/>
  <c r="A8" i="22"/>
  <c r="N7" i="22"/>
  <c r="M7" i="22"/>
  <c r="J7" i="22"/>
  <c r="I7" i="22"/>
  <c r="F7" i="22"/>
  <c r="E7" i="22"/>
  <c r="B7" i="22"/>
  <c r="A7" i="22"/>
  <c r="N6" i="22"/>
  <c r="M6" i="22"/>
  <c r="J6" i="22"/>
  <c r="I6" i="22"/>
  <c r="F6" i="22"/>
  <c r="E6" i="22"/>
  <c r="B6" i="22"/>
  <c r="A6" i="22"/>
  <c r="N5" i="22"/>
  <c r="M5" i="22"/>
  <c r="J5" i="22"/>
  <c r="I5" i="22"/>
  <c r="F5" i="22"/>
  <c r="E5" i="22"/>
  <c r="B5" i="22"/>
  <c r="A5" i="22"/>
  <c r="N4" i="22"/>
  <c r="M4" i="22"/>
  <c r="J4" i="22"/>
  <c r="I4" i="22"/>
  <c r="F4" i="22"/>
  <c r="H33" i="22" s="1"/>
  <c r="E4" i="22"/>
  <c r="E1" i="22"/>
  <c r="C1" i="22"/>
  <c r="P26" i="21"/>
  <c r="O26" i="21"/>
  <c r="N26" i="21"/>
  <c r="L26" i="21"/>
  <c r="K26" i="21"/>
  <c r="G26" i="21"/>
  <c r="E26" i="21"/>
  <c r="C26" i="21"/>
  <c r="B26" i="21"/>
  <c r="P25" i="21"/>
  <c r="O25" i="21"/>
  <c r="N25" i="21"/>
  <c r="L25" i="21"/>
  <c r="K25" i="21"/>
  <c r="G25" i="21"/>
  <c r="E25" i="21"/>
  <c r="C25" i="21"/>
  <c r="B25" i="21"/>
  <c r="P24" i="21"/>
  <c r="O24" i="21"/>
  <c r="N24" i="21"/>
  <c r="L24" i="21"/>
  <c r="K24" i="21"/>
  <c r="G24" i="21"/>
  <c r="E24" i="21"/>
  <c r="J24" i="21" s="1"/>
  <c r="C24" i="21"/>
  <c r="B24" i="21"/>
  <c r="P23" i="21"/>
  <c r="O23" i="21"/>
  <c r="N23" i="21"/>
  <c r="L23" i="21"/>
  <c r="K23" i="21"/>
  <c r="G23" i="21"/>
  <c r="E23" i="21"/>
  <c r="C23" i="21"/>
  <c r="B23" i="21"/>
  <c r="P22" i="21"/>
  <c r="O22" i="21"/>
  <c r="N22" i="21"/>
  <c r="L22" i="21"/>
  <c r="K22" i="21"/>
  <c r="G22" i="21"/>
  <c r="E22" i="21"/>
  <c r="C22" i="21"/>
  <c r="B22" i="21"/>
  <c r="P21" i="21"/>
  <c r="O21" i="21"/>
  <c r="N21" i="21"/>
  <c r="L21" i="21"/>
  <c r="K21" i="21"/>
  <c r="G21" i="21"/>
  <c r="E21" i="21"/>
  <c r="C21" i="21"/>
  <c r="B21" i="21"/>
  <c r="P20" i="21"/>
  <c r="O20" i="21"/>
  <c r="N20" i="21"/>
  <c r="L20" i="21"/>
  <c r="K20" i="21"/>
  <c r="G20" i="21"/>
  <c r="E20" i="21"/>
  <c r="J20" i="21" s="1"/>
  <c r="C20" i="21"/>
  <c r="B20" i="21"/>
  <c r="P19" i="21"/>
  <c r="O19" i="21"/>
  <c r="N19" i="21"/>
  <c r="L19" i="21"/>
  <c r="K19" i="21"/>
  <c r="G19" i="21"/>
  <c r="E19" i="21"/>
  <c r="C19" i="21"/>
  <c r="B19" i="21"/>
  <c r="P18" i="21"/>
  <c r="O18" i="21"/>
  <c r="N18" i="21"/>
  <c r="L18" i="21"/>
  <c r="K18" i="21"/>
  <c r="G18" i="21"/>
  <c r="E18" i="21"/>
  <c r="C18" i="21"/>
  <c r="B18" i="21"/>
  <c r="P17" i="21"/>
  <c r="O17" i="21"/>
  <c r="N17" i="21"/>
  <c r="L17" i="21"/>
  <c r="K17" i="21"/>
  <c r="G17" i="21"/>
  <c r="E17" i="21"/>
  <c r="C17" i="21"/>
  <c r="B17" i="21"/>
  <c r="P16" i="21"/>
  <c r="O16" i="21"/>
  <c r="N16" i="21"/>
  <c r="L16" i="21"/>
  <c r="K16" i="21"/>
  <c r="G16" i="21"/>
  <c r="E16" i="21"/>
  <c r="J16" i="21" s="1"/>
  <c r="C16" i="21"/>
  <c r="B16" i="21"/>
  <c r="P15" i="21"/>
  <c r="O15" i="21"/>
  <c r="N15" i="21"/>
  <c r="L15" i="21"/>
  <c r="K15" i="21"/>
  <c r="G15" i="21"/>
  <c r="E15" i="21"/>
  <c r="C15" i="21"/>
  <c r="B15" i="21"/>
  <c r="P14" i="21"/>
  <c r="O14" i="21"/>
  <c r="N14" i="21"/>
  <c r="L14" i="21"/>
  <c r="K14" i="21"/>
  <c r="G14" i="21"/>
  <c r="E14" i="21"/>
  <c r="C14" i="21"/>
  <c r="B14" i="21"/>
  <c r="P13" i="21"/>
  <c r="O13" i="21"/>
  <c r="N13" i="21"/>
  <c r="L13" i="21"/>
  <c r="K13" i="21"/>
  <c r="G13" i="21"/>
  <c r="E13" i="21"/>
  <c r="C13" i="21"/>
  <c r="B13" i="21"/>
  <c r="P12" i="21"/>
  <c r="O12" i="21"/>
  <c r="N12" i="21"/>
  <c r="L12" i="21"/>
  <c r="K12" i="21"/>
  <c r="G12" i="21"/>
  <c r="E12" i="21"/>
  <c r="J12" i="21" s="1"/>
  <c r="C12" i="21"/>
  <c r="B12" i="21"/>
  <c r="P11" i="21"/>
  <c r="O11" i="21"/>
  <c r="N11" i="21"/>
  <c r="L11" i="21"/>
  <c r="K11" i="21"/>
  <c r="G11" i="21"/>
  <c r="E11" i="21"/>
  <c r="C11" i="21"/>
  <c r="B11" i="21"/>
  <c r="P10" i="21"/>
  <c r="O10" i="21"/>
  <c r="N10" i="21"/>
  <c r="L10" i="21"/>
  <c r="K10" i="21"/>
  <c r="G10" i="21"/>
  <c r="E10" i="21"/>
  <c r="C10" i="21"/>
  <c r="B10" i="21"/>
  <c r="P9" i="21"/>
  <c r="O9" i="21"/>
  <c r="N9" i="21"/>
  <c r="L9" i="21"/>
  <c r="K9" i="21"/>
  <c r="G9" i="21"/>
  <c r="E9" i="21"/>
  <c r="C9" i="21"/>
  <c r="B9" i="21"/>
  <c r="P8" i="21"/>
  <c r="O8" i="21"/>
  <c r="N8" i="21"/>
  <c r="L8" i="21"/>
  <c r="K8" i="21"/>
  <c r="G8" i="21"/>
  <c r="E8" i="21"/>
  <c r="J8" i="21" s="1"/>
  <c r="C8" i="21"/>
  <c r="B8" i="21"/>
  <c r="P7" i="21"/>
  <c r="O7" i="21"/>
  <c r="N7" i="21"/>
  <c r="L7" i="21"/>
  <c r="K7" i="21"/>
  <c r="G7" i="21"/>
  <c r="E7" i="21"/>
  <c r="C7" i="21"/>
  <c r="B7" i="21"/>
  <c r="P6" i="21"/>
  <c r="O6" i="21"/>
  <c r="N6" i="21"/>
  <c r="L6" i="21"/>
  <c r="K6" i="21"/>
  <c r="G6" i="21"/>
  <c r="E6" i="21"/>
  <c r="C6" i="21"/>
  <c r="B6" i="21"/>
  <c r="P5" i="21"/>
  <c r="O5" i="21"/>
  <c r="N5" i="21"/>
  <c r="L5" i="21"/>
  <c r="K5" i="21"/>
  <c r="G5" i="21"/>
  <c r="E5" i="21"/>
  <c r="C5" i="21"/>
  <c r="B5" i="21"/>
  <c r="H4" i="21"/>
  <c r="P28" i="20"/>
  <c r="O28" i="20"/>
  <c r="N28" i="20"/>
  <c r="L28" i="20"/>
  <c r="K28" i="20"/>
  <c r="G28" i="20"/>
  <c r="E28" i="20"/>
  <c r="C28" i="20"/>
  <c r="B28" i="20"/>
  <c r="P27" i="20"/>
  <c r="O27" i="20"/>
  <c r="N27" i="20"/>
  <c r="L27" i="20"/>
  <c r="K27" i="20"/>
  <c r="G27" i="20"/>
  <c r="E27" i="20"/>
  <c r="C27" i="20"/>
  <c r="B27" i="20"/>
  <c r="P26" i="20"/>
  <c r="O26" i="20"/>
  <c r="N26" i="20"/>
  <c r="L26" i="20"/>
  <c r="K26" i="20"/>
  <c r="G26" i="20"/>
  <c r="E26" i="20"/>
  <c r="C26" i="20"/>
  <c r="B26" i="20"/>
  <c r="P25" i="20"/>
  <c r="O25" i="20"/>
  <c r="N25" i="20"/>
  <c r="L25" i="20"/>
  <c r="K25" i="20"/>
  <c r="G25" i="20"/>
  <c r="E25" i="20"/>
  <c r="J25" i="20" s="1"/>
  <c r="C25" i="20"/>
  <c r="B25" i="20"/>
  <c r="P24" i="20"/>
  <c r="O24" i="20"/>
  <c r="N24" i="20"/>
  <c r="L24" i="20"/>
  <c r="K24" i="20"/>
  <c r="G24" i="20"/>
  <c r="E24" i="20"/>
  <c r="C24" i="20"/>
  <c r="B24" i="20"/>
  <c r="P23" i="20"/>
  <c r="O23" i="20"/>
  <c r="N23" i="20"/>
  <c r="L23" i="20"/>
  <c r="K23" i="20"/>
  <c r="G23" i="20"/>
  <c r="E23" i="20"/>
  <c r="C23" i="20"/>
  <c r="B23" i="20"/>
  <c r="P22" i="20"/>
  <c r="O22" i="20"/>
  <c r="N22" i="20"/>
  <c r="L22" i="20"/>
  <c r="K22" i="20"/>
  <c r="G22" i="20"/>
  <c r="E22" i="20"/>
  <c r="C22" i="20"/>
  <c r="B22" i="20"/>
  <c r="P21" i="20"/>
  <c r="O21" i="20"/>
  <c r="N21" i="20"/>
  <c r="L21" i="20"/>
  <c r="K21" i="20"/>
  <c r="G21" i="20"/>
  <c r="E21" i="20"/>
  <c r="J21" i="20" s="1"/>
  <c r="C21" i="20"/>
  <c r="B21" i="20"/>
  <c r="P20" i="20"/>
  <c r="O20" i="20"/>
  <c r="N20" i="20"/>
  <c r="L20" i="20"/>
  <c r="K20" i="20"/>
  <c r="G20" i="20"/>
  <c r="E20" i="20"/>
  <c r="C20" i="20"/>
  <c r="B20" i="20"/>
  <c r="P19" i="20"/>
  <c r="O19" i="20"/>
  <c r="N19" i="20"/>
  <c r="L19" i="20"/>
  <c r="K19" i="20"/>
  <c r="G19" i="20"/>
  <c r="E19" i="20"/>
  <c r="C19" i="20"/>
  <c r="B19" i="20"/>
  <c r="P18" i="20"/>
  <c r="O18" i="20"/>
  <c r="N18" i="20"/>
  <c r="L18" i="20"/>
  <c r="K18" i="20"/>
  <c r="G18" i="20"/>
  <c r="E18" i="20"/>
  <c r="C18" i="20"/>
  <c r="B18" i="20"/>
  <c r="P17" i="20"/>
  <c r="O17" i="20"/>
  <c r="N17" i="20"/>
  <c r="L17" i="20"/>
  <c r="K17" i="20"/>
  <c r="G17" i="20"/>
  <c r="E17" i="20"/>
  <c r="J17" i="20" s="1"/>
  <c r="C17" i="20"/>
  <c r="B17" i="20"/>
  <c r="P16" i="20"/>
  <c r="O16" i="20"/>
  <c r="N16" i="20"/>
  <c r="L16" i="20"/>
  <c r="K16" i="20"/>
  <c r="G16" i="20"/>
  <c r="E16" i="20"/>
  <c r="C16" i="20"/>
  <c r="B16" i="20"/>
  <c r="P15" i="20"/>
  <c r="O15" i="20"/>
  <c r="N15" i="20"/>
  <c r="L15" i="20"/>
  <c r="K15" i="20"/>
  <c r="G15" i="20"/>
  <c r="E15" i="20"/>
  <c r="C15" i="20"/>
  <c r="B15" i="20"/>
  <c r="P14" i="20"/>
  <c r="O14" i="20"/>
  <c r="N14" i="20"/>
  <c r="L14" i="20"/>
  <c r="K14" i="20"/>
  <c r="G14" i="20"/>
  <c r="E14" i="20"/>
  <c r="C14" i="20"/>
  <c r="B14" i="20"/>
  <c r="P13" i="20"/>
  <c r="O13" i="20"/>
  <c r="N13" i="20"/>
  <c r="L13" i="20"/>
  <c r="K13" i="20"/>
  <c r="G13" i="20"/>
  <c r="E13" i="20"/>
  <c r="J13" i="20" s="1"/>
  <c r="C13" i="20"/>
  <c r="B13" i="20"/>
  <c r="P12" i="20"/>
  <c r="O12" i="20"/>
  <c r="N12" i="20"/>
  <c r="L12" i="20"/>
  <c r="K12" i="20"/>
  <c r="G12" i="20"/>
  <c r="E12" i="20"/>
  <c r="C12" i="20"/>
  <c r="B12" i="20"/>
  <c r="P11" i="20"/>
  <c r="O11" i="20"/>
  <c r="N11" i="20"/>
  <c r="L11" i="20"/>
  <c r="K11" i="20"/>
  <c r="G11" i="20"/>
  <c r="E11" i="20"/>
  <c r="C11" i="20"/>
  <c r="B11" i="20"/>
  <c r="P10" i="20"/>
  <c r="O10" i="20"/>
  <c r="N10" i="20"/>
  <c r="L10" i="20"/>
  <c r="K10" i="20"/>
  <c r="G10" i="20"/>
  <c r="E10" i="20"/>
  <c r="C10" i="20"/>
  <c r="B10" i="20"/>
  <c r="P9" i="20"/>
  <c r="O9" i="20"/>
  <c r="N9" i="20"/>
  <c r="L9" i="20"/>
  <c r="K9" i="20"/>
  <c r="G9" i="20"/>
  <c r="E9" i="20"/>
  <c r="C9" i="20"/>
  <c r="B9" i="20"/>
  <c r="P8" i="20"/>
  <c r="O8" i="20"/>
  <c r="N8" i="20"/>
  <c r="L8" i="20"/>
  <c r="K8" i="20"/>
  <c r="G8" i="20"/>
  <c r="E8" i="20"/>
  <c r="C8" i="20"/>
  <c r="B8" i="20"/>
  <c r="P7" i="20"/>
  <c r="O7" i="20"/>
  <c r="N7" i="20"/>
  <c r="L7" i="20"/>
  <c r="K7" i="20"/>
  <c r="G7" i="20"/>
  <c r="E7" i="20"/>
  <c r="C7" i="20"/>
  <c r="B7" i="20"/>
  <c r="P6" i="20"/>
  <c r="O6" i="20"/>
  <c r="N6" i="20"/>
  <c r="L6" i="20"/>
  <c r="K6" i="20"/>
  <c r="G6" i="20"/>
  <c r="E6" i="20"/>
  <c r="C6" i="20"/>
  <c r="B6" i="20"/>
  <c r="P5" i="20"/>
  <c r="O5" i="20"/>
  <c r="N5" i="20"/>
  <c r="L5" i="20"/>
  <c r="K5" i="20"/>
  <c r="G5" i="20"/>
  <c r="E5" i="20"/>
  <c r="C5" i="20"/>
  <c r="B5" i="20"/>
  <c r="H4" i="20"/>
  <c r="P28" i="19"/>
  <c r="O28" i="19"/>
  <c r="N28" i="19"/>
  <c r="L28" i="19"/>
  <c r="K28" i="19"/>
  <c r="G28" i="19"/>
  <c r="E28" i="19"/>
  <c r="C28" i="19"/>
  <c r="B28" i="19"/>
  <c r="P27" i="19"/>
  <c r="O27" i="19"/>
  <c r="N27" i="19"/>
  <c r="L27" i="19"/>
  <c r="K27" i="19"/>
  <c r="G27" i="19"/>
  <c r="E27" i="19"/>
  <c r="C27" i="19"/>
  <c r="B27" i="19"/>
  <c r="P26" i="19"/>
  <c r="O26" i="19"/>
  <c r="N26" i="19"/>
  <c r="L26" i="19"/>
  <c r="K26" i="19"/>
  <c r="G26" i="19"/>
  <c r="E26" i="19"/>
  <c r="J26" i="19" s="1"/>
  <c r="C26" i="19"/>
  <c r="B26" i="19"/>
  <c r="P25" i="19"/>
  <c r="O25" i="19"/>
  <c r="N25" i="19"/>
  <c r="L25" i="19"/>
  <c r="K25" i="19"/>
  <c r="G25" i="19"/>
  <c r="E25" i="19"/>
  <c r="C25" i="19"/>
  <c r="B25" i="19"/>
  <c r="P24" i="19"/>
  <c r="O24" i="19"/>
  <c r="N24" i="19"/>
  <c r="L24" i="19"/>
  <c r="K24" i="19"/>
  <c r="G24" i="19"/>
  <c r="E24" i="19"/>
  <c r="C24" i="19"/>
  <c r="B24" i="19"/>
  <c r="P23" i="19"/>
  <c r="O23" i="19"/>
  <c r="N23" i="19"/>
  <c r="L23" i="19"/>
  <c r="K23" i="19"/>
  <c r="G23" i="19"/>
  <c r="E23" i="19"/>
  <c r="C23" i="19"/>
  <c r="B23" i="19"/>
  <c r="P22" i="19"/>
  <c r="O22" i="19"/>
  <c r="N22" i="19"/>
  <c r="L22" i="19"/>
  <c r="K22" i="19"/>
  <c r="G22" i="19"/>
  <c r="E22" i="19"/>
  <c r="J22" i="19" s="1"/>
  <c r="C22" i="19"/>
  <c r="B22" i="19"/>
  <c r="P21" i="19"/>
  <c r="O21" i="19"/>
  <c r="N21" i="19"/>
  <c r="L21" i="19"/>
  <c r="K21" i="19"/>
  <c r="G21" i="19"/>
  <c r="E21" i="19"/>
  <c r="C21" i="19"/>
  <c r="B21" i="19"/>
  <c r="P20" i="19"/>
  <c r="O20" i="19"/>
  <c r="N20" i="19"/>
  <c r="L20" i="19"/>
  <c r="K20" i="19"/>
  <c r="G20" i="19"/>
  <c r="E20" i="19"/>
  <c r="C20" i="19"/>
  <c r="B20" i="19"/>
  <c r="P19" i="19"/>
  <c r="O19" i="19"/>
  <c r="N19" i="19"/>
  <c r="L19" i="19"/>
  <c r="K19" i="19"/>
  <c r="G19" i="19"/>
  <c r="E19" i="19"/>
  <c r="C19" i="19"/>
  <c r="B19" i="19"/>
  <c r="P18" i="19"/>
  <c r="O18" i="19"/>
  <c r="N18" i="19"/>
  <c r="L18" i="19"/>
  <c r="K18" i="19"/>
  <c r="G18" i="19"/>
  <c r="E18" i="19"/>
  <c r="J18" i="19" s="1"/>
  <c r="C18" i="19"/>
  <c r="B18" i="19"/>
  <c r="P17" i="19"/>
  <c r="O17" i="19"/>
  <c r="N17" i="19"/>
  <c r="L17" i="19"/>
  <c r="K17" i="19"/>
  <c r="G17" i="19"/>
  <c r="E17" i="19"/>
  <c r="C17" i="19"/>
  <c r="B17" i="19"/>
  <c r="P16" i="19"/>
  <c r="O16" i="19"/>
  <c r="N16" i="19"/>
  <c r="L16" i="19"/>
  <c r="K16" i="19"/>
  <c r="G16" i="19"/>
  <c r="E16" i="19"/>
  <c r="C16" i="19"/>
  <c r="B16" i="19"/>
  <c r="P15" i="19"/>
  <c r="O15" i="19"/>
  <c r="N15" i="19"/>
  <c r="L15" i="19"/>
  <c r="K15" i="19"/>
  <c r="G15" i="19"/>
  <c r="E15" i="19"/>
  <c r="C15" i="19"/>
  <c r="B15" i="19"/>
  <c r="P14" i="19"/>
  <c r="O14" i="19"/>
  <c r="N14" i="19"/>
  <c r="L14" i="19"/>
  <c r="K14" i="19"/>
  <c r="G14" i="19"/>
  <c r="E14" i="19"/>
  <c r="J14" i="19" s="1"/>
  <c r="C14" i="19"/>
  <c r="B14" i="19"/>
  <c r="P13" i="19"/>
  <c r="O13" i="19"/>
  <c r="N13" i="19"/>
  <c r="L13" i="19"/>
  <c r="K13" i="19"/>
  <c r="G13" i="19"/>
  <c r="E13" i="19"/>
  <c r="C13" i="19"/>
  <c r="B13" i="19"/>
  <c r="P12" i="19"/>
  <c r="O12" i="19"/>
  <c r="N12" i="19"/>
  <c r="L12" i="19"/>
  <c r="K12" i="19"/>
  <c r="G12" i="19"/>
  <c r="E12" i="19"/>
  <c r="C12" i="19"/>
  <c r="B12" i="19"/>
  <c r="P11" i="19"/>
  <c r="O11" i="19"/>
  <c r="N11" i="19"/>
  <c r="L11" i="19"/>
  <c r="K11" i="19"/>
  <c r="G11" i="19"/>
  <c r="E11" i="19"/>
  <c r="C11" i="19"/>
  <c r="B11" i="19"/>
  <c r="P10" i="19"/>
  <c r="O10" i="19"/>
  <c r="N10" i="19"/>
  <c r="L10" i="19"/>
  <c r="K10" i="19"/>
  <c r="G10" i="19"/>
  <c r="E10" i="19"/>
  <c r="J10" i="19" s="1"/>
  <c r="C10" i="19"/>
  <c r="B10" i="19"/>
  <c r="P9" i="19"/>
  <c r="O9" i="19"/>
  <c r="N9" i="19"/>
  <c r="L9" i="19"/>
  <c r="K9" i="19"/>
  <c r="G9" i="19"/>
  <c r="E9" i="19"/>
  <c r="C9" i="19"/>
  <c r="B9" i="19"/>
  <c r="P8" i="19"/>
  <c r="O8" i="19"/>
  <c r="N8" i="19"/>
  <c r="L8" i="19"/>
  <c r="K8" i="19"/>
  <c r="G8" i="19"/>
  <c r="E8" i="19"/>
  <c r="C8" i="19"/>
  <c r="B8" i="19"/>
  <c r="P7" i="19"/>
  <c r="O7" i="19"/>
  <c r="N7" i="19"/>
  <c r="L7" i="19"/>
  <c r="K7" i="19"/>
  <c r="G7" i="19"/>
  <c r="E7" i="19"/>
  <c r="C7" i="19"/>
  <c r="B7" i="19"/>
  <c r="P6" i="19"/>
  <c r="O6" i="19"/>
  <c r="N6" i="19"/>
  <c r="L6" i="19"/>
  <c r="K6" i="19"/>
  <c r="G6" i="19"/>
  <c r="E6" i="19"/>
  <c r="J6" i="19" s="1"/>
  <c r="C6" i="19"/>
  <c r="B6" i="19"/>
  <c r="P5" i="19"/>
  <c r="O5" i="19"/>
  <c r="N5" i="19"/>
  <c r="L5" i="19"/>
  <c r="K5" i="19"/>
  <c r="G5" i="19"/>
  <c r="E5" i="19"/>
  <c r="C5" i="19"/>
  <c r="B5" i="19"/>
  <c r="H4" i="19"/>
  <c r="P22" i="18"/>
  <c r="O22" i="18"/>
  <c r="N22" i="18"/>
  <c r="L22" i="18"/>
  <c r="K22" i="18"/>
  <c r="G22" i="18"/>
  <c r="E22" i="18"/>
  <c r="C22" i="18"/>
  <c r="B22" i="18"/>
  <c r="P21" i="18"/>
  <c r="O21" i="18"/>
  <c r="N21" i="18"/>
  <c r="L21" i="18"/>
  <c r="K21" i="18"/>
  <c r="G21" i="18"/>
  <c r="E21" i="18"/>
  <c r="J21" i="18" s="1"/>
  <c r="C21" i="18"/>
  <c r="B21" i="18"/>
  <c r="P20" i="18"/>
  <c r="O20" i="18"/>
  <c r="N20" i="18"/>
  <c r="L20" i="18"/>
  <c r="K20" i="18"/>
  <c r="G20" i="18"/>
  <c r="E20" i="18"/>
  <c r="C20" i="18"/>
  <c r="B20" i="18"/>
  <c r="P19" i="18"/>
  <c r="O19" i="18"/>
  <c r="N19" i="18"/>
  <c r="L19" i="18"/>
  <c r="K19" i="18"/>
  <c r="G19" i="18"/>
  <c r="E19" i="18"/>
  <c r="C19" i="18"/>
  <c r="B19" i="18"/>
  <c r="P18" i="18"/>
  <c r="O18" i="18"/>
  <c r="N18" i="18"/>
  <c r="L18" i="18"/>
  <c r="K18" i="18"/>
  <c r="G18" i="18"/>
  <c r="E18" i="18"/>
  <c r="C18" i="18"/>
  <c r="B18" i="18"/>
  <c r="P17" i="18"/>
  <c r="O17" i="18"/>
  <c r="N17" i="18"/>
  <c r="L17" i="18"/>
  <c r="K17" i="18"/>
  <c r="G17" i="18"/>
  <c r="E17" i="18"/>
  <c r="J17" i="18" s="1"/>
  <c r="C17" i="18"/>
  <c r="B17" i="18"/>
  <c r="P16" i="18"/>
  <c r="O16" i="18"/>
  <c r="N16" i="18"/>
  <c r="L16" i="18"/>
  <c r="K16" i="18"/>
  <c r="G16" i="18"/>
  <c r="E16" i="18"/>
  <c r="C16" i="18"/>
  <c r="B16" i="18"/>
  <c r="P15" i="18"/>
  <c r="O15" i="18"/>
  <c r="N15" i="18"/>
  <c r="L15" i="18"/>
  <c r="K15" i="18"/>
  <c r="G15" i="18"/>
  <c r="E15" i="18"/>
  <c r="C15" i="18"/>
  <c r="B15" i="18"/>
  <c r="P14" i="18"/>
  <c r="O14" i="18"/>
  <c r="N14" i="18"/>
  <c r="L14" i="18"/>
  <c r="K14" i="18"/>
  <c r="G14" i="18"/>
  <c r="E14" i="18"/>
  <c r="C14" i="18"/>
  <c r="B14" i="18"/>
  <c r="P13" i="18"/>
  <c r="O13" i="18"/>
  <c r="N13" i="18"/>
  <c r="L13" i="18"/>
  <c r="K13" i="18"/>
  <c r="G13" i="18"/>
  <c r="E13" i="18"/>
  <c r="J13" i="18" s="1"/>
  <c r="C13" i="18"/>
  <c r="B13" i="18"/>
  <c r="P12" i="18"/>
  <c r="O12" i="18"/>
  <c r="N12" i="18"/>
  <c r="L12" i="18"/>
  <c r="K12" i="18"/>
  <c r="G12" i="18"/>
  <c r="E12" i="18"/>
  <c r="C12" i="18"/>
  <c r="B12" i="18"/>
  <c r="P11" i="18"/>
  <c r="O11" i="18"/>
  <c r="N11" i="18"/>
  <c r="L11" i="18"/>
  <c r="K11" i="18"/>
  <c r="G11" i="18"/>
  <c r="E11" i="18"/>
  <c r="C11" i="18"/>
  <c r="B11" i="18"/>
  <c r="P10" i="18"/>
  <c r="O10" i="18"/>
  <c r="N10" i="18"/>
  <c r="L10" i="18"/>
  <c r="K10" i="18"/>
  <c r="G10" i="18"/>
  <c r="E10" i="18"/>
  <c r="C10" i="18"/>
  <c r="B10" i="18"/>
  <c r="P9" i="18"/>
  <c r="O9" i="18"/>
  <c r="N9" i="18"/>
  <c r="L9" i="18"/>
  <c r="K9" i="18"/>
  <c r="G9" i="18"/>
  <c r="E9" i="18"/>
  <c r="J9" i="18" s="1"/>
  <c r="C9" i="18"/>
  <c r="B9" i="18"/>
  <c r="P8" i="18"/>
  <c r="O8" i="18"/>
  <c r="N8" i="18"/>
  <c r="L8" i="18"/>
  <c r="K8" i="18"/>
  <c r="G8" i="18"/>
  <c r="E8" i="18"/>
  <c r="C8" i="18"/>
  <c r="B8" i="18"/>
  <c r="P7" i="18"/>
  <c r="O7" i="18"/>
  <c r="N7" i="18"/>
  <c r="L7" i="18"/>
  <c r="K7" i="18"/>
  <c r="G7" i="18"/>
  <c r="E7" i="18"/>
  <c r="C7" i="18"/>
  <c r="B7" i="18"/>
  <c r="P6" i="18"/>
  <c r="O6" i="18"/>
  <c r="N6" i="18"/>
  <c r="L6" i="18"/>
  <c r="K6" i="18"/>
  <c r="G6" i="18"/>
  <c r="E6" i="18"/>
  <c r="C6" i="18"/>
  <c r="C4" i="18" s="1"/>
  <c r="B6" i="18"/>
  <c r="P5" i="18"/>
  <c r="O5" i="18"/>
  <c r="N5" i="18"/>
  <c r="L5" i="18"/>
  <c r="K5" i="18"/>
  <c r="G5" i="18"/>
  <c r="E5" i="18"/>
  <c r="J5" i="18" s="1"/>
  <c r="C5" i="18"/>
  <c r="B5" i="18"/>
  <c r="H4" i="18"/>
  <c r="P26" i="17"/>
  <c r="O26" i="17"/>
  <c r="N26" i="17"/>
  <c r="L26" i="17"/>
  <c r="K26" i="17"/>
  <c r="G26" i="17"/>
  <c r="E26" i="17"/>
  <c r="C26" i="17"/>
  <c r="B26" i="17"/>
  <c r="P25" i="17"/>
  <c r="O25" i="17"/>
  <c r="N25" i="17"/>
  <c r="L25" i="17"/>
  <c r="K25" i="17"/>
  <c r="G25" i="17"/>
  <c r="E25" i="17"/>
  <c r="C25" i="17"/>
  <c r="B25" i="17"/>
  <c r="P24" i="17"/>
  <c r="O24" i="17"/>
  <c r="N24" i="17"/>
  <c r="L24" i="17"/>
  <c r="K24" i="17"/>
  <c r="G24" i="17"/>
  <c r="E24" i="17"/>
  <c r="J24" i="17" s="1"/>
  <c r="C24" i="17"/>
  <c r="B24" i="17"/>
  <c r="P23" i="17"/>
  <c r="O23" i="17"/>
  <c r="N23" i="17"/>
  <c r="L23" i="17"/>
  <c r="K23" i="17"/>
  <c r="G23" i="17"/>
  <c r="E23" i="17"/>
  <c r="C23" i="17"/>
  <c r="B23" i="17"/>
  <c r="P22" i="17"/>
  <c r="O22" i="17"/>
  <c r="N22" i="17"/>
  <c r="L22" i="17"/>
  <c r="K22" i="17"/>
  <c r="G22" i="17"/>
  <c r="E22" i="17"/>
  <c r="C22" i="17"/>
  <c r="B22" i="17"/>
  <c r="P21" i="17"/>
  <c r="O21" i="17"/>
  <c r="N21" i="17"/>
  <c r="L21" i="17"/>
  <c r="K21" i="17"/>
  <c r="G21" i="17"/>
  <c r="E21" i="17"/>
  <c r="C21" i="17"/>
  <c r="B21" i="17"/>
  <c r="P20" i="17"/>
  <c r="O20" i="17"/>
  <c r="N20" i="17"/>
  <c r="L20" i="17"/>
  <c r="K20" i="17"/>
  <c r="G20" i="17"/>
  <c r="E20" i="17"/>
  <c r="J20" i="17" s="1"/>
  <c r="C20" i="17"/>
  <c r="B20" i="17"/>
  <c r="P19" i="17"/>
  <c r="O19" i="17"/>
  <c r="N19" i="17"/>
  <c r="L19" i="17"/>
  <c r="K19" i="17"/>
  <c r="G19" i="17"/>
  <c r="E19" i="17"/>
  <c r="C19" i="17"/>
  <c r="B19" i="17"/>
  <c r="P18" i="17"/>
  <c r="O18" i="17"/>
  <c r="N18" i="17"/>
  <c r="L18" i="17"/>
  <c r="K18" i="17"/>
  <c r="G18" i="17"/>
  <c r="E18" i="17"/>
  <c r="C18" i="17"/>
  <c r="B18" i="17"/>
  <c r="P17" i="17"/>
  <c r="O17" i="17"/>
  <c r="N17" i="17"/>
  <c r="L17" i="17"/>
  <c r="K17" i="17"/>
  <c r="G17" i="17"/>
  <c r="E17" i="17"/>
  <c r="C17" i="17"/>
  <c r="B17" i="17"/>
  <c r="P16" i="17"/>
  <c r="O16" i="17"/>
  <c r="N16" i="17"/>
  <c r="L16" i="17"/>
  <c r="K16" i="17"/>
  <c r="G16" i="17"/>
  <c r="E16" i="17"/>
  <c r="J16" i="17" s="1"/>
  <c r="C16" i="17"/>
  <c r="B16" i="17"/>
  <c r="P15" i="17"/>
  <c r="O15" i="17"/>
  <c r="N15" i="17"/>
  <c r="L15" i="17"/>
  <c r="K15" i="17"/>
  <c r="G15" i="17"/>
  <c r="E15" i="17"/>
  <c r="C15" i="17"/>
  <c r="B15" i="17"/>
  <c r="P14" i="17"/>
  <c r="O14" i="17"/>
  <c r="N14" i="17"/>
  <c r="L14" i="17"/>
  <c r="K14" i="17"/>
  <c r="G14" i="17"/>
  <c r="E14" i="17"/>
  <c r="C14" i="17"/>
  <c r="B14" i="17"/>
  <c r="P13" i="17"/>
  <c r="O13" i="17"/>
  <c r="N13" i="17"/>
  <c r="L13" i="17"/>
  <c r="K13" i="17"/>
  <c r="G13" i="17"/>
  <c r="E13" i="17"/>
  <c r="C13" i="17"/>
  <c r="B13" i="17"/>
  <c r="P12" i="17"/>
  <c r="O12" i="17"/>
  <c r="N12" i="17"/>
  <c r="L12" i="17"/>
  <c r="K12" i="17"/>
  <c r="G12" i="17"/>
  <c r="E12" i="17"/>
  <c r="J12" i="17" s="1"/>
  <c r="C12" i="17"/>
  <c r="B12" i="17"/>
  <c r="P11" i="17"/>
  <c r="O11" i="17"/>
  <c r="N11" i="17"/>
  <c r="L11" i="17"/>
  <c r="K11" i="17"/>
  <c r="G11" i="17"/>
  <c r="E11" i="17"/>
  <c r="C11" i="17"/>
  <c r="B11" i="17"/>
  <c r="P10" i="17"/>
  <c r="O10" i="17"/>
  <c r="N10" i="17"/>
  <c r="L10" i="17"/>
  <c r="K10" i="17"/>
  <c r="G10" i="17"/>
  <c r="E10" i="17"/>
  <c r="C10" i="17"/>
  <c r="B10" i="17"/>
  <c r="P9" i="17"/>
  <c r="O9" i="17"/>
  <c r="N9" i="17"/>
  <c r="L9" i="17"/>
  <c r="K9" i="17"/>
  <c r="G9" i="17"/>
  <c r="E9" i="17"/>
  <c r="C9" i="17"/>
  <c r="B9" i="17"/>
  <c r="P8" i="17"/>
  <c r="O8" i="17"/>
  <c r="N8" i="17"/>
  <c r="L8" i="17"/>
  <c r="K8" i="17"/>
  <c r="G8" i="17"/>
  <c r="E8" i="17"/>
  <c r="J8" i="17" s="1"/>
  <c r="C8" i="17"/>
  <c r="B8" i="17"/>
  <c r="P7" i="17"/>
  <c r="O7" i="17"/>
  <c r="N7" i="17"/>
  <c r="L7" i="17"/>
  <c r="K7" i="17"/>
  <c r="G7" i="17"/>
  <c r="E7" i="17"/>
  <c r="C7" i="17"/>
  <c r="B7" i="17"/>
  <c r="P6" i="17"/>
  <c r="O6" i="17"/>
  <c r="N6" i="17"/>
  <c r="L6" i="17"/>
  <c r="K6" i="17"/>
  <c r="G6" i="17"/>
  <c r="E6" i="17"/>
  <c r="C6" i="17"/>
  <c r="B6" i="17"/>
  <c r="P5" i="17"/>
  <c r="O5" i="17"/>
  <c r="N5" i="17"/>
  <c r="L5" i="17"/>
  <c r="K5" i="17"/>
  <c r="G5" i="17"/>
  <c r="E5" i="17"/>
  <c r="C5" i="17"/>
  <c r="C4" i="17" s="1"/>
  <c r="B5" i="17"/>
  <c r="H4" i="17"/>
  <c r="P26" i="16"/>
  <c r="O26" i="16"/>
  <c r="N26" i="16"/>
  <c r="L26" i="16"/>
  <c r="K26" i="16"/>
  <c r="G26" i="16"/>
  <c r="E26" i="16"/>
  <c r="C26" i="16"/>
  <c r="B26" i="16"/>
  <c r="P25" i="16"/>
  <c r="O25" i="16"/>
  <c r="N25" i="16"/>
  <c r="L25" i="16"/>
  <c r="K25" i="16"/>
  <c r="G25" i="16"/>
  <c r="E25" i="16"/>
  <c r="C25" i="16"/>
  <c r="B25" i="16"/>
  <c r="P24" i="16"/>
  <c r="O24" i="16"/>
  <c r="N24" i="16"/>
  <c r="L24" i="16"/>
  <c r="K24" i="16"/>
  <c r="G24" i="16"/>
  <c r="E24" i="16"/>
  <c r="C24" i="16"/>
  <c r="B24" i="16"/>
  <c r="P23" i="16"/>
  <c r="O23" i="16"/>
  <c r="N23" i="16"/>
  <c r="L23" i="16"/>
  <c r="K23" i="16"/>
  <c r="G23" i="16"/>
  <c r="E23" i="16"/>
  <c r="J23" i="16" s="1"/>
  <c r="C23" i="16"/>
  <c r="B23" i="16"/>
  <c r="P22" i="16"/>
  <c r="O22" i="16"/>
  <c r="N22" i="16"/>
  <c r="L22" i="16"/>
  <c r="K22" i="16"/>
  <c r="G22" i="16"/>
  <c r="E22" i="16"/>
  <c r="C22" i="16"/>
  <c r="B22" i="16"/>
  <c r="P21" i="16"/>
  <c r="O21" i="16"/>
  <c r="N21" i="16"/>
  <c r="L21" i="16"/>
  <c r="K21" i="16"/>
  <c r="G21" i="16"/>
  <c r="E21" i="16"/>
  <c r="C21" i="16"/>
  <c r="B21" i="16"/>
  <c r="P20" i="16"/>
  <c r="O20" i="16"/>
  <c r="N20" i="16"/>
  <c r="L20" i="16"/>
  <c r="K20" i="16"/>
  <c r="G20" i="16"/>
  <c r="E20" i="16"/>
  <c r="C20" i="16"/>
  <c r="B20" i="16"/>
  <c r="P19" i="16"/>
  <c r="O19" i="16"/>
  <c r="N19" i="16"/>
  <c r="L19" i="16"/>
  <c r="K19" i="16"/>
  <c r="G19" i="16"/>
  <c r="E19" i="16"/>
  <c r="J19" i="16" s="1"/>
  <c r="C19" i="16"/>
  <c r="B19" i="16"/>
  <c r="P18" i="16"/>
  <c r="O18" i="16"/>
  <c r="N18" i="16"/>
  <c r="L18" i="16"/>
  <c r="K18" i="16"/>
  <c r="G18" i="16"/>
  <c r="E18" i="16"/>
  <c r="C18" i="16"/>
  <c r="B18" i="16"/>
  <c r="P17" i="16"/>
  <c r="O17" i="16"/>
  <c r="N17" i="16"/>
  <c r="L17" i="16"/>
  <c r="K17" i="16"/>
  <c r="G17" i="16"/>
  <c r="E17" i="16"/>
  <c r="C17" i="16"/>
  <c r="B17" i="16"/>
  <c r="P16" i="16"/>
  <c r="O16" i="16"/>
  <c r="N16" i="16"/>
  <c r="L16" i="16"/>
  <c r="K16" i="16"/>
  <c r="G16" i="16"/>
  <c r="E16" i="16"/>
  <c r="C16" i="16"/>
  <c r="B16" i="16"/>
  <c r="P15" i="16"/>
  <c r="O15" i="16"/>
  <c r="N15" i="16"/>
  <c r="L15" i="16"/>
  <c r="K15" i="16"/>
  <c r="G15" i="16"/>
  <c r="E15" i="16"/>
  <c r="J15" i="16" s="1"/>
  <c r="C15" i="16"/>
  <c r="B15" i="16"/>
  <c r="P14" i="16"/>
  <c r="O14" i="16"/>
  <c r="N14" i="16"/>
  <c r="L14" i="16"/>
  <c r="K14" i="16"/>
  <c r="G14" i="16"/>
  <c r="E14" i="16"/>
  <c r="C14" i="16"/>
  <c r="B14" i="16"/>
  <c r="P13" i="16"/>
  <c r="O13" i="16"/>
  <c r="N13" i="16"/>
  <c r="L13" i="16"/>
  <c r="K13" i="16"/>
  <c r="G13" i="16"/>
  <c r="E13" i="16"/>
  <c r="C13" i="16"/>
  <c r="B13" i="16"/>
  <c r="P12" i="16"/>
  <c r="O12" i="16"/>
  <c r="N12" i="16"/>
  <c r="L12" i="16"/>
  <c r="K12" i="16"/>
  <c r="G12" i="16"/>
  <c r="E12" i="16"/>
  <c r="C12" i="16"/>
  <c r="B12" i="16"/>
  <c r="P11" i="16"/>
  <c r="O11" i="16"/>
  <c r="N11" i="16"/>
  <c r="L11" i="16"/>
  <c r="K11" i="16"/>
  <c r="G11" i="16"/>
  <c r="E11" i="16"/>
  <c r="J11" i="16" s="1"/>
  <c r="C11" i="16"/>
  <c r="B11" i="16"/>
  <c r="P10" i="16"/>
  <c r="O10" i="16"/>
  <c r="N10" i="16"/>
  <c r="L10" i="16"/>
  <c r="K10" i="16"/>
  <c r="G10" i="16"/>
  <c r="E10" i="16"/>
  <c r="C10" i="16"/>
  <c r="B10" i="16"/>
  <c r="P9" i="16"/>
  <c r="O9" i="16"/>
  <c r="N9" i="16"/>
  <c r="L9" i="16"/>
  <c r="K9" i="16"/>
  <c r="G9" i="16"/>
  <c r="E9" i="16"/>
  <c r="C9" i="16"/>
  <c r="B9" i="16"/>
  <c r="P8" i="16"/>
  <c r="O8" i="16"/>
  <c r="N8" i="16"/>
  <c r="L8" i="16"/>
  <c r="K8" i="16"/>
  <c r="G8" i="16"/>
  <c r="E8" i="16"/>
  <c r="C8" i="16"/>
  <c r="B8" i="16"/>
  <c r="P7" i="16"/>
  <c r="O7" i="16"/>
  <c r="N7" i="16"/>
  <c r="L7" i="16"/>
  <c r="K7" i="16"/>
  <c r="G7" i="16"/>
  <c r="E7" i="16"/>
  <c r="J7" i="16" s="1"/>
  <c r="C7" i="16"/>
  <c r="B7" i="16"/>
  <c r="P6" i="16"/>
  <c r="O6" i="16"/>
  <c r="N6" i="16"/>
  <c r="L6" i="16"/>
  <c r="K6" i="16"/>
  <c r="G6" i="16"/>
  <c r="E6" i="16"/>
  <c r="C6" i="16"/>
  <c r="B6" i="16"/>
  <c r="P5" i="16"/>
  <c r="O5" i="16"/>
  <c r="N5" i="16"/>
  <c r="L5" i="16"/>
  <c r="K5" i="16"/>
  <c r="G5" i="16"/>
  <c r="E5" i="16"/>
  <c r="C5" i="16"/>
  <c r="C4" i="16" s="1"/>
  <c r="B5" i="16"/>
  <c r="H4" i="16"/>
  <c r="P24" i="15"/>
  <c r="O24" i="15"/>
  <c r="N24" i="15"/>
  <c r="L24" i="15"/>
  <c r="K24" i="15"/>
  <c r="G24" i="15"/>
  <c r="E24" i="15"/>
  <c r="J24" i="15" s="1"/>
  <c r="C24" i="15"/>
  <c r="B24" i="15"/>
  <c r="P23" i="15"/>
  <c r="O23" i="15"/>
  <c r="N23" i="15"/>
  <c r="L23" i="15"/>
  <c r="K23" i="15"/>
  <c r="G23" i="15"/>
  <c r="E23" i="15"/>
  <c r="C23" i="15"/>
  <c r="B23" i="15"/>
  <c r="P22" i="15"/>
  <c r="O22" i="15"/>
  <c r="N22" i="15"/>
  <c r="L22" i="15"/>
  <c r="K22" i="15"/>
  <c r="G22" i="15"/>
  <c r="E22" i="15"/>
  <c r="C22" i="15"/>
  <c r="B22" i="15"/>
  <c r="P21" i="15"/>
  <c r="O21" i="15"/>
  <c r="N21" i="15"/>
  <c r="L21" i="15"/>
  <c r="K21" i="15"/>
  <c r="G21" i="15"/>
  <c r="E21" i="15"/>
  <c r="C21" i="15"/>
  <c r="B21" i="15"/>
  <c r="P20" i="15"/>
  <c r="O20" i="15"/>
  <c r="N20" i="15"/>
  <c r="L20" i="15"/>
  <c r="K20" i="15"/>
  <c r="G20" i="15"/>
  <c r="E20" i="15"/>
  <c r="J20" i="15" s="1"/>
  <c r="C20" i="15"/>
  <c r="B20" i="15"/>
  <c r="P19" i="15"/>
  <c r="O19" i="15"/>
  <c r="N19" i="15"/>
  <c r="L19" i="15"/>
  <c r="K19" i="15"/>
  <c r="G19" i="15"/>
  <c r="E19" i="15"/>
  <c r="C19" i="15"/>
  <c r="B19" i="15"/>
  <c r="P18" i="15"/>
  <c r="O18" i="15"/>
  <c r="N18" i="15"/>
  <c r="L18" i="15"/>
  <c r="K18" i="15"/>
  <c r="G18" i="15"/>
  <c r="E18" i="15"/>
  <c r="C18" i="15"/>
  <c r="B18" i="15"/>
  <c r="P17" i="15"/>
  <c r="O17" i="15"/>
  <c r="N17" i="15"/>
  <c r="L17" i="15"/>
  <c r="K17" i="15"/>
  <c r="G17" i="15"/>
  <c r="E17" i="15"/>
  <c r="C17" i="15"/>
  <c r="B17" i="15"/>
  <c r="P16" i="15"/>
  <c r="O16" i="15"/>
  <c r="N16" i="15"/>
  <c r="L16" i="15"/>
  <c r="K16" i="15"/>
  <c r="G16" i="15"/>
  <c r="E16" i="15"/>
  <c r="J16" i="15" s="1"/>
  <c r="C16" i="15"/>
  <c r="B16" i="15"/>
  <c r="P15" i="15"/>
  <c r="O15" i="15"/>
  <c r="N15" i="15"/>
  <c r="L15" i="15"/>
  <c r="K15" i="15"/>
  <c r="G15" i="15"/>
  <c r="E15" i="15"/>
  <c r="C15" i="15"/>
  <c r="B15" i="15"/>
  <c r="P14" i="15"/>
  <c r="O14" i="15"/>
  <c r="N14" i="15"/>
  <c r="L14" i="15"/>
  <c r="K14" i="15"/>
  <c r="G14" i="15"/>
  <c r="E14" i="15"/>
  <c r="C14" i="15"/>
  <c r="B14" i="15"/>
  <c r="P13" i="15"/>
  <c r="O13" i="15"/>
  <c r="N13" i="15"/>
  <c r="L13" i="15"/>
  <c r="K13" i="15"/>
  <c r="G13" i="15"/>
  <c r="E13" i="15"/>
  <c r="C13" i="15"/>
  <c r="B13" i="15"/>
  <c r="P12" i="15"/>
  <c r="O12" i="15"/>
  <c r="N12" i="15"/>
  <c r="L12" i="15"/>
  <c r="K12" i="15"/>
  <c r="G12" i="15"/>
  <c r="E12" i="15"/>
  <c r="C12" i="15"/>
  <c r="B12" i="15"/>
  <c r="P11" i="15"/>
  <c r="O11" i="15"/>
  <c r="N11" i="15"/>
  <c r="L11" i="15"/>
  <c r="K11" i="15"/>
  <c r="G11" i="15"/>
  <c r="E11" i="15"/>
  <c r="C11" i="15"/>
  <c r="B11" i="15"/>
  <c r="P10" i="15"/>
  <c r="O10" i="15"/>
  <c r="N10" i="15"/>
  <c r="L10" i="15"/>
  <c r="K10" i="15"/>
  <c r="G10" i="15"/>
  <c r="E10" i="15"/>
  <c r="C10" i="15"/>
  <c r="B10" i="15"/>
  <c r="P9" i="15"/>
  <c r="O9" i="15"/>
  <c r="N9" i="15"/>
  <c r="L9" i="15"/>
  <c r="K9" i="15"/>
  <c r="G9" i="15"/>
  <c r="E9" i="15"/>
  <c r="C9" i="15"/>
  <c r="B9" i="15"/>
  <c r="P8" i="15"/>
  <c r="O8" i="15"/>
  <c r="N8" i="15"/>
  <c r="L8" i="15"/>
  <c r="K8" i="15"/>
  <c r="G8" i="15"/>
  <c r="E8" i="15"/>
  <c r="J8" i="15" s="1"/>
  <c r="C8" i="15"/>
  <c r="B8" i="15"/>
  <c r="P7" i="15"/>
  <c r="O7" i="15"/>
  <c r="N7" i="15"/>
  <c r="L7" i="15"/>
  <c r="K7" i="15"/>
  <c r="G7" i="15"/>
  <c r="E7" i="15"/>
  <c r="C7" i="15"/>
  <c r="B7" i="15"/>
  <c r="P6" i="15"/>
  <c r="O6" i="15"/>
  <c r="N6" i="15"/>
  <c r="L6" i="15"/>
  <c r="K6" i="15"/>
  <c r="G6" i="15"/>
  <c r="E6" i="15"/>
  <c r="C6" i="15"/>
  <c r="B6" i="15"/>
  <c r="P5" i="15"/>
  <c r="O5" i="15"/>
  <c r="N5" i="15"/>
  <c r="L5" i="15"/>
  <c r="K5" i="15"/>
  <c r="G5" i="15"/>
  <c r="E5" i="15"/>
  <c r="C5" i="15"/>
  <c r="B5" i="15"/>
  <c r="H4" i="15"/>
  <c r="P26" i="14"/>
  <c r="O26" i="14"/>
  <c r="N26" i="14"/>
  <c r="L26" i="14"/>
  <c r="K26" i="14"/>
  <c r="G26" i="14"/>
  <c r="E26" i="14"/>
  <c r="C26" i="14"/>
  <c r="B26" i="14"/>
  <c r="P25" i="14"/>
  <c r="O25" i="14"/>
  <c r="N25" i="14"/>
  <c r="L25" i="14"/>
  <c r="K25" i="14"/>
  <c r="G25" i="14"/>
  <c r="E25" i="14"/>
  <c r="C25" i="14"/>
  <c r="B25" i="14"/>
  <c r="P24" i="14"/>
  <c r="O24" i="14"/>
  <c r="N24" i="14"/>
  <c r="L24" i="14"/>
  <c r="K24" i="14"/>
  <c r="G24" i="14"/>
  <c r="E24" i="14"/>
  <c r="C24" i="14"/>
  <c r="B24" i="14"/>
  <c r="P23" i="14"/>
  <c r="O23" i="14"/>
  <c r="N23" i="14"/>
  <c r="L23" i="14"/>
  <c r="K23" i="14"/>
  <c r="G23" i="14"/>
  <c r="E23" i="14"/>
  <c r="J23" i="14" s="1"/>
  <c r="C23" i="14"/>
  <c r="B23" i="14"/>
  <c r="P22" i="14"/>
  <c r="O22" i="14"/>
  <c r="N22" i="14"/>
  <c r="L22" i="14"/>
  <c r="K22" i="14"/>
  <c r="G22" i="14"/>
  <c r="E22" i="14"/>
  <c r="C22" i="14"/>
  <c r="B22" i="14"/>
  <c r="P21" i="14"/>
  <c r="O21" i="14"/>
  <c r="N21" i="14"/>
  <c r="L21" i="14"/>
  <c r="K21" i="14"/>
  <c r="G21" i="14"/>
  <c r="E21" i="14"/>
  <c r="C21" i="14"/>
  <c r="B21" i="14"/>
  <c r="P20" i="14"/>
  <c r="O20" i="14"/>
  <c r="N20" i="14"/>
  <c r="L20" i="14"/>
  <c r="K20" i="14"/>
  <c r="G20" i="14"/>
  <c r="E20" i="14"/>
  <c r="C20" i="14"/>
  <c r="B20" i="14"/>
  <c r="P19" i="14"/>
  <c r="O19" i="14"/>
  <c r="N19" i="14"/>
  <c r="L19" i="14"/>
  <c r="K19" i="14"/>
  <c r="G19" i="14"/>
  <c r="E19" i="14"/>
  <c r="C19" i="14"/>
  <c r="B19" i="14"/>
  <c r="P18" i="14"/>
  <c r="O18" i="14"/>
  <c r="N18" i="14"/>
  <c r="L18" i="14"/>
  <c r="K18" i="14"/>
  <c r="G18" i="14"/>
  <c r="E18" i="14"/>
  <c r="C18" i="14"/>
  <c r="B18" i="14"/>
  <c r="P17" i="14"/>
  <c r="O17" i="14"/>
  <c r="N17" i="14"/>
  <c r="L17" i="14"/>
  <c r="K17" i="14"/>
  <c r="G17" i="14"/>
  <c r="E17" i="14"/>
  <c r="C17" i="14"/>
  <c r="B17" i="14"/>
  <c r="P16" i="14"/>
  <c r="O16" i="14"/>
  <c r="N16" i="14"/>
  <c r="L16" i="14"/>
  <c r="K16" i="14"/>
  <c r="G16" i="14"/>
  <c r="E16" i="14"/>
  <c r="C16" i="14"/>
  <c r="B16" i="14"/>
  <c r="P15" i="14"/>
  <c r="O15" i="14"/>
  <c r="N15" i="14"/>
  <c r="L15" i="14"/>
  <c r="K15" i="14"/>
  <c r="G15" i="14"/>
  <c r="E15" i="14"/>
  <c r="C15" i="14"/>
  <c r="B15" i="14"/>
  <c r="P14" i="14"/>
  <c r="O14" i="14"/>
  <c r="N14" i="14"/>
  <c r="L14" i="14"/>
  <c r="K14" i="14"/>
  <c r="G14" i="14"/>
  <c r="E14" i="14"/>
  <c r="C14" i="14"/>
  <c r="B14" i="14"/>
  <c r="P13" i="14"/>
  <c r="O13" i="14"/>
  <c r="N13" i="14"/>
  <c r="L13" i="14"/>
  <c r="K13" i="14"/>
  <c r="G13" i="14"/>
  <c r="E13" i="14"/>
  <c r="C13" i="14"/>
  <c r="B13" i="14"/>
  <c r="P12" i="14"/>
  <c r="O12" i="14"/>
  <c r="N12" i="14"/>
  <c r="L12" i="14"/>
  <c r="K12" i="14"/>
  <c r="G12" i="14"/>
  <c r="E12" i="14"/>
  <c r="C12" i="14"/>
  <c r="B12" i="14"/>
  <c r="P11" i="14"/>
  <c r="O11" i="14"/>
  <c r="N11" i="14"/>
  <c r="L11" i="14"/>
  <c r="K11" i="14"/>
  <c r="G11" i="14"/>
  <c r="E11" i="14"/>
  <c r="J11" i="14" s="1"/>
  <c r="C11" i="14"/>
  <c r="B11" i="14"/>
  <c r="P10" i="14"/>
  <c r="O10" i="14"/>
  <c r="N10" i="14"/>
  <c r="L10" i="14"/>
  <c r="K10" i="14"/>
  <c r="G10" i="14"/>
  <c r="E10" i="14"/>
  <c r="C10" i="14"/>
  <c r="B10" i="14"/>
  <c r="P9" i="14"/>
  <c r="O9" i="14"/>
  <c r="N9" i="14"/>
  <c r="L9" i="14"/>
  <c r="K9" i="14"/>
  <c r="G9" i="14"/>
  <c r="E9" i="14"/>
  <c r="C9" i="14"/>
  <c r="B9" i="14"/>
  <c r="P8" i="14"/>
  <c r="O8" i="14"/>
  <c r="N8" i="14"/>
  <c r="L8" i="14"/>
  <c r="K8" i="14"/>
  <c r="G8" i="14"/>
  <c r="E8" i="14"/>
  <c r="C8" i="14"/>
  <c r="B8" i="14"/>
  <c r="P7" i="14"/>
  <c r="O7" i="14"/>
  <c r="N7" i="14"/>
  <c r="L7" i="14"/>
  <c r="K7" i="14"/>
  <c r="G7" i="14"/>
  <c r="E7" i="14"/>
  <c r="J7" i="14" s="1"/>
  <c r="C7" i="14"/>
  <c r="B7" i="14"/>
  <c r="P6" i="14"/>
  <c r="O6" i="14"/>
  <c r="N6" i="14"/>
  <c r="L6" i="14"/>
  <c r="K6" i="14"/>
  <c r="G6" i="14"/>
  <c r="E6" i="14"/>
  <c r="C6" i="14"/>
  <c r="B6" i="14"/>
  <c r="P5" i="14"/>
  <c r="O5" i="14"/>
  <c r="N5" i="14"/>
  <c r="L5" i="14"/>
  <c r="K5" i="14"/>
  <c r="G5" i="14"/>
  <c r="E5" i="14"/>
  <c r="C5" i="14"/>
  <c r="B5" i="14"/>
  <c r="H4" i="14"/>
  <c r="P24" i="13"/>
  <c r="O24" i="13"/>
  <c r="N24" i="13"/>
  <c r="L24" i="13"/>
  <c r="K24" i="13"/>
  <c r="G24" i="13"/>
  <c r="E24" i="13"/>
  <c r="J24" i="13" s="1"/>
  <c r="C24" i="13"/>
  <c r="B24" i="13"/>
  <c r="P23" i="13"/>
  <c r="O23" i="13"/>
  <c r="N23" i="13"/>
  <c r="L23" i="13"/>
  <c r="K23" i="13"/>
  <c r="G23" i="13"/>
  <c r="E23" i="13"/>
  <c r="C23" i="13"/>
  <c r="B23" i="13"/>
  <c r="P22" i="13"/>
  <c r="O22" i="13"/>
  <c r="N22" i="13"/>
  <c r="L22" i="13"/>
  <c r="K22" i="13"/>
  <c r="G22" i="13"/>
  <c r="E22" i="13"/>
  <c r="C22" i="13"/>
  <c r="B22" i="13"/>
  <c r="P21" i="13"/>
  <c r="O21" i="13"/>
  <c r="N21" i="13"/>
  <c r="L21" i="13"/>
  <c r="K21" i="13"/>
  <c r="G21" i="13"/>
  <c r="E21" i="13"/>
  <c r="C21" i="13"/>
  <c r="B21" i="13"/>
  <c r="P20" i="13"/>
  <c r="O20" i="13"/>
  <c r="N20" i="13"/>
  <c r="L20" i="13"/>
  <c r="K20" i="13"/>
  <c r="G20" i="13"/>
  <c r="E20" i="13"/>
  <c r="J20" i="13" s="1"/>
  <c r="C20" i="13"/>
  <c r="B20" i="13"/>
  <c r="P19" i="13"/>
  <c r="O19" i="13"/>
  <c r="N19" i="13"/>
  <c r="L19" i="13"/>
  <c r="K19" i="13"/>
  <c r="G19" i="13"/>
  <c r="E19" i="13"/>
  <c r="C19" i="13"/>
  <c r="B19" i="13"/>
  <c r="P18" i="13"/>
  <c r="O18" i="13"/>
  <c r="N18" i="13"/>
  <c r="L18" i="13"/>
  <c r="K18" i="13"/>
  <c r="G18" i="13"/>
  <c r="E18" i="13"/>
  <c r="C18" i="13"/>
  <c r="B18" i="13"/>
  <c r="P17" i="13"/>
  <c r="O17" i="13"/>
  <c r="N17" i="13"/>
  <c r="L17" i="13"/>
  <c r="K17" i="13"/>
  <c r="G17" i="13"/>
  <c r="E17" i="13"/>
  <c r="C17" i="13"/>
  <c r="B17" i="13"/>
  <c r="P16" i="13"/>
  <c r="O16" i="13"/>
  <c r="N16" i="13"/>
  <c r="L16" i="13"/>
  <c r="K16" i="13"/>
  <c r="G16" i="13"/>
  <c r="E16" i="13"/>
  <c r="J16" i="13" s="1"/>
  <c r="C16" i="13"/>
  <c r="B16" i="13"/>
  <c r="P15" i="13"/>
  <c r="O15" i="13"/>
  <c r="N15" i="13"/>
  <c r="L15" i="13"/>
  <c r="K15" i="13"/>
  <c r="G15" i="13"/>
  <c r="E15" i="13"/>
  <c r="C15" i="13"/>
  <c r="B15" i="13"/>
  <c r="P14" i="13"/>
  <c r="O14" i="13"/>
  <c r="N14" i="13"/>
  <c r="L14" i="13"/>
  <c r="K14" i="13"/>
  <c r="G14" i="13"/>
  <c r="E14" i="13"/>
  <c r="C14" i="13"/>
  <c r="B14" i="13"/>
  <c r="P13" i="13"/>
  <c r="O13" i="13"/>
  <c r="N13" i="13"/>
  <c r="L13" i="13"/>
  <c r="K13" i="13"/>
  <c r="G13" i="13"/>
  <c r="E13" i="13"/>
  <c r="C13" i="13"/>
  <c r="B13" i="13"/>
  <c r="P12" i="13"/>
  <c r="O12" i="13"/>
  <c r="N12" i="13"/>
  <c r="L12" i="13"/>
  <c r="K12" i="13"/>
  <c r="G12" i="13"/>
  <c r="E12" i="13"/>
  <c r="J12" i="13" s="1"/>
  <c r="C12" i="13"/>
  <c r="B12" i="13"/>
  <c r="P11" i="13"/>
  <c r="O11" i="13"/>
  <c r="N11" i="13"/>
  <c r="L11" i="13"/>
  <c r="K11" i="13"/>
  <c r="G11" i="13"/>
  <c r="E11" i="13"/>
  <c r="C11" i="13"/>
  <c r="B11" i="13"/>
  <c r="P10" i="13"/>
  <c r="O10" i="13"/>
  <c r="N10" i="13"/>
  <c r="L10" i="13"/>
  <c r="K10" i="13"/>
  <c r="G10" i="13"/>
  <c r="E10" i="13"/>
  <c r="C10" i="13"/>
  <c r="B10" i="13"/>
  <c r="P9" i="13"/>
  <c r="O9" i="13"/>
  <c r="N9" i="13"/>
  <c r="L9" i="13"/>
  <c r="K9" i="13"/>
  <c r="G9" i="13"/>
  <c r="E9" i="13"/>
  <c r="C9" i="13"/>
  <c r="B9" i="13"/>
  <c r="P8" i="13"/>
  <c r="O8" i="13"/>
  <c r="N8" i="13"/>
  <c r="L8" i="13"/>
  <c r="K8" i="13"/>
  <c r="G8" i="13"/>
  <c r="E8" i="13"/>
  <c r="J8" i="13" s="1"/>
  <c r="C8" i="13"/>
  <c r="B8" i="13"/>
  <c r="P7" i="13"/>
  <c r="O7" i="13"/>
  <c r="N7" i="13"/>
  <c r="L7" i="13"/>
  <c r="K7" i="13"/>
  <c r="G7" i="13"/>
  <c r="E7" i="13"/>
  <c r="C7" i="13"/>
  <c r="B7" i="13"/>
  <c r="P6" i="13"/>
  <c r="O6" i="13"/>
  <c r="N6" i="13"/>
  <c r="L6" i="13"/>
  <c r="K6" i="13"/>
  <c r="G6" i="13"/>
  <c r="E6" i="13"/>
  <c r="C6" i="13"/>
  <c r="B6" i="13"/>
  <c r="P5" i="13"/>
  <c r="O5" i="13"/>
  <c r="N5" i="13"/>
  <c r="L5" i="13"/>
  <c r="K5" i="13"/>
  <c r="G5" i="13"/>
  <c r="E5" i="13"/>
  <c r="C5" i="13"/>
  <c r="B5" i="13"/>
  <c r="H4" i="13"/>
  <c r="P25" i="12"/>
  <c r="O25" i="12"/>
  <c r="N25" i="12"/>
  <c r="L25" i="12"/>
  <c r="K25" i="12"/>
  <c r="G25" i="12"/>
  <c r="E25" i="12"/>
  <c r="C25" i="12"/>
  <c r="B25" i="12"/>
  <c r="P24" i="12"/>
  <c r="O24" i="12"/>
  <c r="N24" i="12"/>
  <c r="L24" i="12"/>
  <c r="K24" i="12"/>
  <c r="G24" i="12"/>
  <c r="E24" i="12"/>
  <c r="C24" i="12"/>
  <c r="B24" i="12"/>
  <c r="P23" i="12"/>
  <c r="O23" i="12"/>
  <c r="N23" i="12"/>
  <c r="L23" i="12"/>
  <c r="K23" i="12"/>
  <c r="G23" i="12"/>
  <c r="E23" i="12"/>
  <c r="C23" i="12"/>
  <c r="B23" i="12"/>
  <c r="P22" i="12"/>
  <c r="O22" i="12"/>
  <c r="N22" i="12"/>
  <c r="L22" i="12"/>
  <c r="K22" i="12"/>
  <c r="G22" i="12"/>
  <c r="E22" i="12"/>
  <c r="J22" i="12" s="1"/>
  <c r="C22" i="12"/>
  <c r="B22" i="12"/>
  <c r="P21" i="12"/>
  <c r="O21" i="12"/>
  <c r="N21" i="12"/>
  <c r="L21" i="12"/>
  <c r="K21" i="12"/>
  <c r="G21" i="12"/>
  <c r="E21" i="12"/>
  <c r="C21" i="12"/>
  <c r="B21" i="12"/>
  <c r="P20" i="12"/>
  <c r="O20" i="12"/>
  <c r="N20" i="12"/>
  <c r="L20" i="12"/>
  <c r="K20" i="12"/>
  <c r="G20" i="12"/>
  <c r="E20" i="12"/>
  <c r="C20" i="12"/>
  <c r="B20" i="12"/>
  <c r="P19" i="12"/>
  <c r="O19" i="12"/>
  <c r="N19" i="12"/>
  <c r="L19" i="12"/>
  <c r="K19" i="12"/>
  <c r="G19" i="12"/>
  <c r="E19" i="12"/>
  <c r="C19" i="12"/>
  <c r="B19" i="12"/>
  <c r="P18" i="12"/>
  <c r="O18" i="12"/>
  <c r="N18" i="12"/>
  <c r="L18" i="12"/>
  <c r="K18" i="12"/>
  <c r="G18" i="12"/>
  <c r="E18" i="12"/>
  <c r="J18" i="12" s="1"/>
  <c r="C18" i="12"/>
  <c r="B18" i="12"/>
  <c r="P17" i="12"/>
  <c r="O17" i="12"/>
  <c r="N17" i="12"/>
  <c r="L17" i="12"/>
  <c r="K17" i="12"/>
  <c r="G17" i="12"/>
  <c r="E17" i="12"/>
  <c r="C17" i="12"/>
  <c r="B17" i="12"/>
  <c r="P16" i="12"/>
  <c r="O16" i="12"/>
  <c r="N16" i="12"/>
  <c r="L16" i="12"/>
  <c r="K16" i="12"/>
  <c r="G16" i="12"/>
  <c r="E16" i="12"/>
  <c r="C16" i="12"/>
  <c r="B16" i="12"/>
  <c r="P15" i="12"/>
  <c r="O15" i="12"/>
  <c r="N15" i="12"/>
  <c r="L15" i="12"/>
  <c r="K15" i="12"/>
  <c r="G15" i="12"/>
  <c r="E15" i="12"/>
  <c r="C15" i="12"/>
  <c r="B15" i="12"/>
  <c r="P14" i="12"/>
  <c r="O14" i="12"/>
  <c r="N14" i="12"/>
  <c r="L14" i="12"/>
  <c r="K14" i="12"/>
  <c r="G14" i="12"/>
  <c r="E14" i="12"/>
  <c r="J14" i="12" s="1"/>
  <c r="C14" i="12"/>
  <c r="B14" i="12"/>
  <c r="P13" i="12"/>
  <c r="O13" i="12"/>
  <c r="N13" i="12"/>
  <c r="L13" i="12"/>
  <c r="K13" i="12"/>
  <c r="G13" i="12"/>
  <c r="E13" i="12"/>
  <c r="C13" i="12"/>
  <c r="B13" i="12"/>
  <c r="P12" i="12"/>
  <c r="O12" i="12"/>
  <c r="N12" i="12"/>
  <c r="L12" i="12"/>
  <c r="K12" i="12"/>
  <c r="G12" i="12"/>
  <c r="E12" i="12"/>
  <c r="C12" i="12"/>
  <c r="B12" i="12"/>
  <c r="P11" i="12"/>
  <c r="O11" i="12"/>
  <c r="N11" i="12"/>
  <c r="L11" i="12"/>
  <c r="K11" i="12"/>
  <c r="G11" i="12"/>
  <c r="E11" i="12"/>
  <c r="C11" i="12"/>
  <c r="B11" i="12"/>
  <c r="P10" i="12"/>
  <c r="O10" i="12"/>
  <c r="N10" i="12"/>
  <c r="L10" i="12"/>
  <c r="K10" i="12"/>
  <c r="G10" i="12"/>
  <c r="E10" i="12"/>
  <c r="J10" i="12" s="1"/>
  <c r="C10" i="12"/>
  <c r="B10" i="12"/>
  <c r="P9" i="12"/>
  <c r="O9" i="12"/>
  <c r="N9" i="12"/>
  <c r="L9" i="12"/>
  <c r="K9" i="12"/>
  <c r="G9" i="12"/>
  <c r="E9" i="12"/>
  <c r="C9" i="12"/>
  <c r="B9" i="12"/>
  <c r="P8" i="12"/>
  <c r="O8" i="12"/>
  <c r="N8" i="12"/>
  <c r="L8" i="12"/>
  <c r="K8" i="12"/>
  <c r="G8" i="12"/>
  <c r="E8" i="12"/>
  <c r="C8" i="12"/>
  <c r="B8" i="12"/>
  <c r="P7" i="12"/>
  <c r="O7" i="12"/>
  <c r="N7" i="12"/>
  <c r="L7" i="12"/>
  <c r="K7" i="12"/>
  <c r="G7" i="12"/>
  <c r="E7" i="12"/>
  <c r="C7" i="12"/>
  <c r="B7" i="12"/>
  <c r="P6" i="12"/>
  <c r="O6" i="12"/>
  <c r="N6" i="12"/>
  <c r="L6" i="12"/>
  <c r="K6" i="12"/>
  <c r="G6" i="12"/>
  <c r="E6" i="12"/>
  <c r="J6" i="12" s="1"/>
  <c r="C6" i="12"/>
  <c r="B6" i="12"/>
  <c r="P5" i="12"/>
  <c r="O5" i="12"/>
  <c r="N5" i="12"/>
  <c r="L5" i="12"/>
  <c r="K5" i="12"/>
  <c r="G5" i="12"/>
  <c r="E5" i="12"/>
  <c r="J5" i="12" s="1"/>
  <c r="C5" i="12"/>
  <c r="B5" i="12"/>
  <c r="H4" i="12"/>
  <c r="E100" i="11"/>
  <c r="D100" i="11"/>
  <c r="C100" i="11"/>
  <c r="B100" i="11"/>
  <c r="F100" i="11" s="1"/>
  <c r="E99" i="11"/>
  <c r="D99" i="11"/>
  <c r="C99" i="11"/>
  <c r="B99" i="11"/>
  <c r="F99" i="11" s="1"/>
  <c r="E98" i="11"/>
  <c r="D98" i="11"/>
  <c r="C98" i="11"/>
  <c r="B98" i="11"/>
  <c r="E97" i="11"/>
  <c r="D97" i="11"/>
  <c r="C97" i="11"/>
  <c r="B97" i="11"/>
  <c r="E96" i="11"/>
  <c r="D96" i="11"/>
  <c r="C96" i="11"/>
  <c r="B96" i="11"/>
  <c r="F96" i="11" s="1"/>
  <c r="E95" i="11"/>
  <c r="D95" i="11"/>
  <c r="C95" i="11"/>
  <c r="B95" i="11"/>
  <c r="F95" i="11" s="1"/>
  <c r="E94" i="11"/>
  <c r="D94" i="11"/>
  <c r="C94" i="11"/>
  <c r="B94" i="11"/>
  <c r="F94" i="11" s="1"/>
  <c r="E93" i="11"/>
  <c r="D93" i="11"/>
  <c r="C93" i="11"/>
  <c r="B93" i="11"/>
  <c r="E92" i="11"/>
  <c r="D92" i="11"/>
  <c r="C92" i="11"/>
  <c r="B92" i="11"/>
  <c r="F92" i="11" s="1"/>
  <c r="E91" i="11"/>
  <c r="D91" i="11"/>
  <c r="C91" i="11"/>
  <c r="B91" i="11"/>
  <c r="F91" i="11" s="1"/>
  <c r="E90" i="11"/>
  <c r="D90" i="11"/>
  <c r="C90" i="11"/>
  <c r="B90" i="11"/>
  <c r="E89" i="11"/>
  <c r="D89" i="11"/>
  <c r="C89" i="11"/>
  <c r="B89" i="11"/>
  <c r="E88" i="11"/>
  <c r="D88" i="11"/>
  <c r="C88" i="11"/>
  <c r="B88" i="11"/>
  <c r="F88" i="11" s="1"/>
  <c r="E87" i="11"/>
  <c r="D87" i="11"/>
  <c r="C87" i="11"/>
  <c r="B87" i="11"/>
  <c r="F87" i="11" s="1"/>
  <c r="E86" i="11"/>
  <c r="D86" i="11"/>
  <c r="C86" i="11"/>
  <c r="B86" i="11"/>
  <c r="F86" i="11" s="1"/>
  <c r="E85" i="11"/>
  <c r="D85" i="11"/>
  <c r="C85" i="11"/>
  <c r="B85" i="11"/>
  <c r="E84" i="11"/>
  <c r="D84" i="11"/>
  <c r="C84" i="11"/>
  <c r="B84" i="11"/>
  <c r="F84" i="11" s="1"/>
  <c r="E83" i="11"/>
  <c r="D83" i="11"/>
  <c r="C83" i="11"/>
  <c r="B83" i="11"/>
  <c r="F83" i="11" s="1"/>
  <c r="E82" i="11"/>
  <c r="D82" i="11"/>
  <c r="C82" i="11"/>
  <c r="B82" i="11"/>
  <c r="E81" i="11"/>
  <c r="D81" i="11"/>
  <c r="C81" i="11"/>
  <c r="B81" i="11"/>
  <c r="E80" i="11"/>
  <c r="D80" i="11"/>
  <c r="C80" i="11"/>
  <c r="B80" i="11"/>
  <c r="F80" i="11" s="1"/>
  <c r="E79" i="11"/>
  <c r="D79" i="11"/>
  <c r="C79" i="11"/>
  <c r="B79" i="11"/>
  <c r="F79" i="11" s="1"/>
  <c r="E78" i="11"/>
  <c r="D78" i="11"/>
  <c r="C78" i="11"/>
  <c r="B78" i="11"/>
  <c r="F78" i="11" s="1"/>
  <c r="E77" i="11"/>
  <c r="D77" i="11"/>
  <c r="C77" i="11"/>
  <c r="B77" i="11"/>
  <c r="E76" i="11"/>
  <c r="D76" i="11"/>
  <c r="C76" i="11"/>
  <c r="B76" i="11"/>
  <c r="F76" i="11" s="1"/>
  <c r="E75" i="11"/>
  <c r="D75" i="11"/>
  <c r="C75" i="11"/>
  <c r="B75" i="11"/>
  <c r="F75" i="11" s="1"/>
  <c r="E74" i="11"/>
  <c r="D74" i="11"/>
  <c r="C74" i="11"/>
  <c r="B74" i="11"/>
  <c r="E73" i="11"/>
  <c r="D73" i="11"/>
  <c r="C73" i="11"/>
  <c r="B73" i="11"/>
  <c r="E72" i="11"/>
  <c r="D72" i="11"/>
  <c r="C72" i="11"/>
  <c r="B72" i="11"/>
  <c r="F72" i="11" s="1"/>
  <c r="E71" i="11"/>
  <c r="D71" i="11"/>
  <c r="C71" i="11"/>
  <c r="B71" i="11"/>
  <c r="F71" i="11" s="1"/>
  <c r="E70" i="11"/>
  <c r="D70" i="11"/>
  <c r="C70" i="11"/>
  <c r="B70" i="11"/>
  <c r="F70" i="11" s="1"/>
  <c r="E69" i="11"/>
  <c r="D69" i="11"/>
  <c r="C69" i="11"/>
  <c r="B69" i="11"/>
  <c r="E68" i="11"/>
  <c r="D68" i="11"/>
  <c r="C68" i="11"/>
  <c r="B68" i="11"/>
  <c r="F68" i="11" s="1"/>
  <c r="E67" i="11"/>
  <c r="D67" i="11"/>
  <c r="C67" i="11"/>
  <c r="B67" i="11"/>
  <c r="F67" i="11" s="1"/>
  <c r="E66" i="11"/>
  <c r="D66" i="11"/>
  <c r="C66" i="11"/>
  <c r="B66" i="11"/>
  <c r="E65" i="11"/>
  <c r="D65" i="11"/>
  <c r="C65" i="11"/>
  <c r="B65" i="11"/>
  <c r="E64" i="11"/>
  <c r="D64" i="11"/>
  <c r="C64" i="11"/>
  <c r="B64" i="11"/>
  <c r="F64" i="11" s="1"/>
  <c r="E63" i="11"/>
  <c r="D63" i="11"/>
  <c r="C63" i="11"/>
  <c r="B63" i="11"/>
  <c r="F63" i="11" s="1"/>
  <c r="E62" i="11"/>
  <c r="C62" i="11"/>
  <c r="B62" i="11"/>
  <c r="F62" i="11" s="1"/>
  <c r="E61" i="11"/>
  <c r="D61" i="11"/>
  <c r="C61" i="11"/>
  <c r="B61" i="11"/>
  <c r="E60" i="11"/>
  <c r="D60" i="11"/>
  <c r="C60" i="11"/>
  <c r="B60" i="11"/>
  <c r="E59" i="11"/>
  <c r="D59" i="11"/>
  <c r="C59" i="11"/>
  <c r="B59" i="11"/>
  <c r="F59" i="11" s="1"/>
  <c r="F58" i="11"/>
  <c r="E58" i="11"/>
  <c r="C58" i="11"/>
  <c r="B58" i="11"/>
  <c r="E57" i="11"/>
  <c r="D57" i="11"/>
  <c r="C57" i="11"/>
  <c r="B57" i="11"/>
  <c r="F57" i="11" s="1"/>
  <c r="E56" i="11"/>
  <c r="C56" i="11"/>
  <c r="B56" i="11"/>
  <c r="F56" i="11" s="1"/>
  <c r="E55" i="11"/>
  <c r="D55" i="11"/>
  <c r="C55" i="11"/>
  <c r="B55" i="11"/>
  <c r="F55" i="11" s="1"/>
  <c r="E54" i="11"/>
  <c r="C54" i="11"/>
  <c r="B54" i="11"/>
  <c r="E53" i="11"/>
  <c r="D53" i="11"/>
  <c r="C53" i="11"/>
  <c r="B53" i="11"/>
  <c r="E52" i="11"/>
  <c r="D52" i="11"/>
  <c r="C52" i="11"/>
  <c r="B52" i="11"/>
  <c r="F52" i="11" s="1"/>
  <c r="E51" i="11"/>
  <c r="D51" i="11"/>
  <c r="C51" i="11"/>
  <c r="B51" i="11"/>
  <c r="F51" i="11" s="1"/>
  <c r="D50" i="11"/>
  <c r="C50" i="11"/>
  <c r="B50" i="11"/>
  <c r="F50" i="11" s="1"/>
  <c r="E49" i="11"/>
  <c r="D49" i="11"/>
  <c r="C49" i="11"/>
  <c r="B49" i="11"/>
  <c r="F49" i="11" s="1"/>
  <c r="E48" i="11"/>
  <c r="D48" i="11"/>
  <c r="C48" i="11"/>
  <c r="B48" i="11"/>
  <c r="E47" i="11"/>
  <c r="D47" i="11"/>
  <c r="C47" i="11"/>
  <c r="B47" i="11"/>
  <c r="F47" i="11" s="1"/>
  <c r="E46" i="11"/>
  <c r="D46" i="11"/>
  <c r="C46" i="11"/>
  <c r="B46" i="11"/>
  <c r="F46" i="11" s="1"/>
  <c r="F45" i="11"/>
  <c r="C45" i="11"/>
  <c r="F44" i="11"/>
  <c r="E44" i="11"/>
  <c r="C44" i="11"/>
  <c r="B44" i="11"/>
  <c r="F43" i="11"/>
  <c r="E43" i="11"/>
  <c r="C43" i="11"/>
  <c r="B43" i="11"/>
  <c r="F42" i="11"/>
  <c r="E42" i="11"/>
  <c r="C42" i="11"/>
  <c r="E41" i="11"/>
  <c r="D41" i="11"/>
  <c r="C41" i="11"/>
  <c r="B41" i="11"/>
  <c r="E40" i="11"/>
  <c r="D40" i="11"/>
  <c r="C40" i="11"/>
  <c r="B40" i="11"/>
  <c r="F40" i="11" s="1"/>
  <c r="E39" i="11"/>
  <c r="D39" i="11"/>
  <c r="C39" i="11"/>
  <c r="B39" i="11"/>
  <c r="F39" i="11" s="1"/>
  <c r="J35" i="11"/>
  <c r="I35" i="11"/>
  <c r="J34" i="11"/>
  <c r="I34" i="11"/>
  <c r="AV33" i="11"/>
  <c r="AT33" i="11"/>
  <c r="AS33" i="11"/>
  <c r="AR33" i="11"/>
  <c r="AN33" i="11"/>
  <c r="AJ33" i="11"/>
  <c r="AH33" i="11"/>
  <c r="AG33" i="11"/>
  <c r="AF33" i="11"/>
  <c r="AB33" i="11"/>
  <c r="X33" i="11"/>
  <c r="V33" i="11"/>
  <c r="U33" i="11"/>
  <c r="T33" i="11"/>
  <c r="P33" i="11"/>
  <c r="L33" i="11"/>
  <c r="J33" i="11"/>
  <c r="I33" i="11"/>
  <c r="H33" i="11"/>
  <c r="D33" i="11"/>
  <c r="C1" i="11" s="1"/>
  <c r="AT32" i="11"/>
  <c r="AS32" i="11"/>
  <c r="AH32" i="11"/>
  <c r="AG32" i="11"/>
  <c r="V32" i="11"/>
  <c r="U32" i="11"/>
  <c r="J32" i="11"/>
  <c r="I32" i="11"/>
  <c r="AT31" i="11"/>
  <c r="AS31" i="11"/>
  <c r="AH31" i="11"/>
  <c r="AG31" i="11"/>
  <c r="V31" i="11"/>
  <c r="U31" i="11"/>
  <c r="J31" i="11"/>
  <c r="I31" i="11"/>
  <c r="AT30" i="11"/>
  <c r="AS30" i="11"/>
  <c r="AH30" i="11"/>
  <c r="AG30" i="11"/>
  <c r="V30" i="11"/>
  <c r="U30" i="11"/>
  <c r="J30" i="11"/>
  <c r="I30" i="11"/>
  <c r="V29" i="11"/>
  <c r="U29" i="11"/>
  <c r="J29" i="11"/>
  <c r="I29" i="11"/>
  <c r="AT28" i="11"/>
  <c r="AS28" i="11"/>
  <c r="J28" i="11"/>
  <c r="I28" i="11"/>
  <c r="AT27" i="11"/>
  <c r="AS27" i="11"/>
  <c r="AH27" i="11"/>
  <c r="AG27" i="11"/>
  <c r="V27" i="11"/>
  <c r="U27" i="11"/>
  <c r="J27" i="11"/>
  <c r="I27" i="11"/>
  <c r="AT26" i="11"/>
  <c r="AS26" i="11"/>
  <c r="AP26" i="11"/>
  <c r="AO26" i="11"/>
  <c r="AH26" i="11"/>
  <c r="AG26" i="11"/>
  <c r="V26" i="11"/>
  <c r="U26" i="11"/>
  <c r="J26" i="11"/>
  <c r="I26" i="11"/>
  <c r="AT25" i="11"/>
  <c r="AS25" i="11"/>
  <c r="AP25" i="11"/>
  <c r="AO25" i="11"/>
  <c r="AH25" i="11"/>
  <c r="AG25" i="11"/>
  <c r="AD25" i="11"/>
  <c r="AC25" i="11"/>
  <c r="V25" i="11"/>
  <c r="U25" i="11"/>
  <c r="R25" i="11"/>
  <c r="Q25" i="11"/>
  <c r="J25" i="11"/>
  <c r="I25" i="11"/>
  <c r="AT24" i="11"/>
  <c r="AS24" i="11"/>
  <c r="AP24" i="11"/>
  <c r="AO24" i="11"/>
  <c r="AH24" i="11"/>
  <c r="AG24" i="11"/>
  <c r="AD24" i="11"/>
  <c r="AC24" i="11"/>
  <c r="V24" i="11"/>
  <c r="U24" i="11"/>
  <c r="J24" i="11"/>
  <c r="I24" i="11"/>
  <c r="F24" i="11"/>
  <c r="E24" i="11"/>
  <c r="AT23" i="11"/>
  <c r="AS23" i="11"/>
  <c r="AP23" i="11"/>
  <c r="AO23" i="11"/>
  <c r="AH23" i="11"/>
  <c r="AG23" i="11"/>
  <c r="AD23" i="11"/>
  <c r="AC23" i="11"/>
  <c r="V23" i="11"/>
  <c r="U23" i="11"/>
  <c r="R23" i="11"/>
  <c r="Q23" i="11"/>
  <c r="J23" i="11"/>
  <c r="I23" i="11"/>
  <c r="F23" i="11"/>
  <c r="E23" i="11"/>
  <c r="AT22" i="11"/>
  <c r="AS22" i="11"/>
  <c r="AP22" i="11"/>
  <c r="AO22" i="11"/>
  <c r="AH22" i="11"/>
  <c r="AG22" i="11"/>
  <c r="AD22" i="11"/>
  <c r="AC22" i="11"/>
  <c r="V22" i="11"/>
  <c r="U22" i="11"/>
  <c r="R22" i="11"/>
  <c r="Q22" i="11"/>
  <c r="J22" i="11"/>
  <c r="I22" i="11"/>
  <c r="F22" i="11"/>
  <c r="E22" i="11"/>
  <c r="AT21" i="11"/>
  <c r="AS21" i="11"/>
  <c r="AP21" i="11"/>
  <c r="AO21" i="11"/>
  <c r="AL21" i="11"/>
  <c r="AK21" i="11"/>
  <c r="AH21" i="11"/>
  <c r="AG21" i="11"/>
  <c r="AD21" i="11"/>
  <c r="AC21" i="11"/>
  <c r="V21" i="11"/>
  <c r="U21" i="11"/>
  <c r="R21" i="11"/>
  <c r="Q21" i="11"/>
  <c r="N21" i="11"/>
  <c r="M21" i="11"/>
  <c r="J21" i="11"/>
  <c r="I21" i="11"/>
  <c r="F21" i="11"/>
  <c r="E21" i="11"/>
  <c r="AT20" i="11"/>
  <c r="AS20" i="11"/>
  <c r="AP20" i="11"/>
  <c r="AO20" i="11"/>
  <c r="AH20" i="11"/>
  <c r="AG20" i="11"/>
  <c r="AD20" i="11"/>
  <c r="AC20" i="11"/>
  <c r="Z20" i="11"/>
  <c r="Y20" i="11"/>
  <c r="V20" i="11"/>
  <c r="U20" i="11"/>
  <c r="R20" i="11"/>
  <c r="Q20" i="11"/>
  <c r="N20" i="11"/>
  <c r="M20" i="11"/>
  <c r="J20" i="11"/>
  <c r="I20" i="11"/>
  <c r="F20" i="11"/>
  <c r="E20" i="11"/>
  <c r="B20" i="11"/>
  <c r="A20" i="11"/>
  <c r="AT19" i="11"/>
  <c r="AS19" i="11"/>
  <c r="AP19" i="11"/>
  <c r="AO19" i="11"/>
  <c r="AL19" i="11"/>
  <c r="AK19" i="11"/>
  <c r="AH19" i="11"/>
  <c r="AG19" i="11"/>
  <c r="AD19" i="11"/>
  <c r="AC19" i="11"/>
  <c r="Z19" i="11"/>
  <c r="Y19" i="11"/>
  <c r="V19" i="11"/>
  <c r="U19" i="11"/>
  <c r="R19" i="11"/>
  <c r="Q19" i="11"/>
  <c r="N19" i="11"/>
  <c r="M19" i="11"/>
  <c r="J19" i="11"/>
  <c r="I19" i="11"/>
  <c r="F19" i="11"/>
  <c r="E19" i="11"/>
  <c r="B19" i="11"/>
  <c r="A19" i="11"/>
  <c r="AT18" i="11"/>
  <c r="AS18" i="11"/>
  <c r="AP18" i="11"/>
  <c r="AO18" i="11"/>
  <c r="AL18" i="11"/>
  <c r="AK18" i="11"/>
  <c r="AH18" i="11"/>
  <c r="AG18" i="11"/>
  <c r="AD18" i="11"/>
  <c r="AC18" i="11"/>
  <c r="Z18" i="11"/>
  <c r="Y18" i="11"/>
  <c r="V18" i="11"/>
  <c r="U18" i="11"/>
  <c r="R18" i="11"/>
  <c r="Q18" i="11"/>
  <c r="N18" i="11"/>
  <c r="M18" i="11"/>
  <c r="J18" i="11"/>
  <c r="I18" i="11"/>
  <c r="F18" i="11"/>
  <c r="E18" i="11"/>
  <c r="AT17" i="11"/>
  <c r="AS17" i="11"/>
  <c r="AP17" i="11"/>
  <c r="AO17" i="11"/>
  <c r="AL17" i="11"/>
  <c r="AK17" i="11"/>
  <c r="AH17" i="11"/>
  <c r="AG17" i="11"/>
  <c r="AD17" i="11"/>
  <c r="AC17" i="11"/>
  <c r="Z17" i="11"/>
  <c r="Y17" i="11"/>
  <c r="V17" i="11"/>
  <c r="U17" i="11"/>
  <c r="R17" i="11"/>
  <c r="Q17" i="11"/>
  <c r="N17" i="11"/>
  <c r="M17" i="11"/>
  <c r="J17" i="11"/>
  <c r="I17" i="11"/>
  <c r="F17" i="11"/>
  <c r="E17" i="11"/>
  <c r="B17" i="11"/>
  <c r="A17" i="11"/>
  <c r="AT16" i="11"/>
  <c r="AS16" i="11"/>
  <c r="AP16" i="11"/>
  <c r="AO16" i="11"/>
  <c r="AL16" i="11"/>
  <c r="AK16" i="11"/>
  <c r="AH16" i="11"/>
  <c r="AG16" i="11"/>
  <c r="AD16" i="11"/>
  <c r="AC16" i="11"/>
  <c r="Z16" i="11"/>
  <c r="Y16" i="11"/>
  <c r="V16" i="11"/>
  <c r="U16" i="11"/>
  <c r="R16" i="11"/>
  <c r="Q16" i="11"/>
  <c r="J16" i="11"/>
  <c r="I16" i="11"/>
  <c r="F16" i="11"/>
  <c r="E16" i="11"/>
  <c r="B16" i="11"/>
  <c r="A16" i="11"/>
  <c r="AT15" i="11"/>
  <c r="AS15" i="11"/>
  <c r="AP15" i="11"/>
  <c r="AO15" i="11"/>
  <c r="AH15" i="11"/>
  <c r="AG15" i="11"/>
  <c r="AD15" i="11"/>
  <c r="AC15" i="11"/>
  <c r="V15" i="11"/>
  <c r="U15" i="11"/>
  <c r="R15" i="11"/>
  <c r="Q15" i="11"/>
  <c r="N15" i="11"/>
  <c r="M15" i="11"/>
  <c r="J15" i="11"/>
  <c r="I15" i="11"/>
  <c r="F15" i="11"/>
  <c r="E15" i="11"/>
  <c r="B15" i="11"/>
  <c r="A15" i="11"/>
  <c r="AT14" i="11"/>
  <c r="AS14" i="11"/>
  <c r="AP14" i="11"/>
  <c r="AO14" i="11"/>
  <c r="AL14" i="11"/>
  <c r="AK14" i="11"/>
  <c r="AH14" i="11"/>
  <c r="AG14" i="11"/>
  <c r="AD14" i="11"/>
  <c r="AC14" i="11"/>
  <c r="Z14" i="11"/>
  <c r="Y14" i="11"/>
  <c r="V14" i="11"/>
  <c r="U14" i="11"/>
  <c r="R14" i="11"/>
  <c r="Q14" i="11"/>
  <c r="N14" i="11"/>
  <c r="M14" i="11"/>
  <c r="J14" i="11"/>
  <c r="I14" i="11"/>
  <c r="F14" i="11"/>
  <c r="E14" i="11"/>
  <c r="B14" i="11"/>
  <c r="A14" i="11"/>
  <c r="AT13" i="11"/>
  <c r="AS13" i="11"/>
  <c r="AP13" i="11"/>
  <c r="AO13" i="11"/>
  <c r="AL13" i="11"/>
  <c r="AK13" i="11"/>
  <c r="AH13" i="11"/>
  <c r="AG13" i="11"/>
  <c r="AD13" i="11"/>
  <c r="AC13" i="11"/>
  <c r="Z13" i="11"/>
  <c r="Y13" i="11"/>
  <c r="V13" i="11"/>
  <c r="U13" i="11"/>
  <c r="R13" i="11"/>
  <c r="Q13" i="11"/>
  <c r="N13" i="11"/>
  <c r="M13" i="11"/>
  <c r="J13" i="11"/>
  <c r="I13" i="11"/>
  <c r="F13" i="11"/>
  <c r="E13" i="11"/>
  <c r="B13" i="11"/>
  <c r="A13" i="11"/>
  <c r="AP12" i="11"/>
  <c r="AO12" i="11"/>
  <c r="AL12" i="11"/>
  <c r="AK12" i="11"/>
  <c r="AD12" i="11"/>
  <c r="AC12" i="11"/>
  <c r="Z12" i="11"/>
  <c r="Y12" i="11"/>
  <c r="R12" i="11"/>
  <c r="Q12" i="11"/>
  <c r="N12" i="11"/>
  <c r="M12" i="11"/>
  <c r="J12" i="11"/>
  <c r="I12" i="11"/>
  <c r="F12" i="11"/>
  <c r="E12" i="11"/>
  <c r="B12" i="11"/>
  <c r="A12" i="11"/>
  <c r="AT11" i="11"/>
  <c r="AS11" i="11"/>
  <c r="AP11" i="11"/>
  <c r="AO11" i="11"/>
  <c r="AL11" i="11"/>
  <c r="AK11" i="11"/>
  <c r="AH11" i="11"/>
  <c r="AG11" i="11"/>
  <c r="AD11" i="11"/>
  <c r="AC11" i="11"/>
  <c r="Z11" i="11"/>
  <c r="Y11" i="11"/>
  <c r="V11" i="11"/>
  <c r="U11" i="11"/>
  <c r="R11" i="11"/>
  <c r="Q11" i="11"/>
  <c r="N11" i="11"/>
  <c r="M11" i="11"/>
  <c r="J11" i="11"/>
  <c r="I11" i="11"/>
  <c r="F11" i="11"/>
  <c r="E11" i="11"/>
  <c r="B11" i="11"/>
  <c r="A11" i="11"/>
  <c r="AT10" i="11"/>
  <c r="AS10" i="11"/>
  <c r="AP10" i="11"/>
  <c r="AO10" i="11"/>
  <c r="AL10" i="11"/>
  <c r="AK10" i="11"/>
  <c r="AH10" i="11"/>
  <c r="AG10" i="11"/>
  <c r="AD10" i="11"/>
  <c r="AC10" i="11"/>
  <c r="Z10" i="11"/>
  <c r="Y10" i="11"/>
  <c r="V10" i="11"/>
  <c r="U10" i="11"/>
  <c r="R10" i="11"/>
  <c r="Q10" i="11"/>
  <c r="N10" i="11"/>
  <c r="M10" i="11"/>
  <c r="J10" i="11"/>
  <c r="I10" i="11"/>
  <c r="F10" i="11"/>
  <c r="E10" i="11"/>
  <c r="B10" i="11"/>
  <c r="A10" i="11"/>
  <c r="AT9" i="11"/>
  <c r="AS9" i="11"/>
  <c r="AP9" i="11"/>
  <c r="AO9" i="11"/>
  <c r="AL9" i="11"/>
  <c r="AK9" i="11"/>
  <c r="AH9" i="11"/>
  <c r="AG9" i="11"/>
  <c r="AD9" i="11"/>
  <c r="AC9" i="11"/>
  <c r="Z9" i="11"/>
  <c r="Y9" i="11"/>
  <c r="V9" i="11"/>
  <c r="U9" i="11"/>
  <c r="R9" i="11"/>
  <c r="Q9" i="11"/>
  <c r="N9" i="11"/>
  <c r="M9" i="11"/>
  <c r="J9" i="11"/>
  <c r="I9" i="11"/>
  <c r="F9" i="11"/>
  <c r="E9" i="11"/>
  <c r="B9" i="11"/>
  <c r="A9" i="11"/>
  <c r="AT8" i="11"/>
  <c r="AS8" i="11"/>
  <c r="AP8" i="11"/>
  <c r="AO8" i="11"/>
  <c r="AL8" i="11"/>
  <c r="AK8" i="11"/>
  <c r="AH8" i="11"/>
  <c r="AG8" i="11"/>
  <c r="AD8" i="11"/>
  <c r="AC8" i="11"/>
  <c r="Z8" i="11"/>
  <c r="Y8" i="11"/>
  <c r="V8" i="11"/>
  <c r="U8" i="11"/>
  <c r="R8" i="11"/>
  <c r="Q8" i="11"/>
  <c r="N8" i="11"/>
  <c r="M8" i="11"/>
  <c r="J8" i="11"/>
  <c r="I8" i="11"/>
  <c r="F8" i="11"/>
  <c r="E8" i="11"/>
  <c r="B8" i="11"/>
  <c r="A8" i="11"/>
  <c r="AT7" i="11"/>
  <c r="AS7" i="11"/>
  <c r="AP7" i="11"/>
  <c r="AO7" i="11"/>
  <c r="AL7" i="11"/>
  <c r="AK7" i="11"/>
  <c r="AH7" i="11"/>
  <c r="AG7" i="11"/>
  <c r="AD7" i="11"/>
  <c r="AC7" i="11"/>
  <c r="Z7" i="11"/>
  <c r="Y7" i="11"/>
  <c r="V7" i="11"/>
  <c r="U7" i="11"/>
  <c r="R7" i="11"/>
  <c r="Q7" i="11"/>
  <c r="N7" i="11"/>
  <c r="M7" i="11"/>
  <c r="J7" i="11"/>
  <c r="I7" i="11"/>
  <c r="F7" i="11"/>
  <c r="E7" i="11"/>
  <c r="AT6" i="11"/>
  <c r="AS6" i="11"/>
  <c r="AP6" i="11"/>
  <c r="AO6" i="11"/>
  <c r="AL6" i="11"/>
  <c r="AK6" i="11"/>
  <c r="AH6" i="11"/>
  <c r="AG6" i="11"/>
  <c r="AD6" i="11"/>
  <c r="AC6" i="11"/>
  <c r="Z6" i="11"/>
  <c r="Y6" i="11"/>
  <c r="V6" i="11"/>
  <c r="U6" i="11"/>
  <c r="R6" i="11"/>
  <c r="Q6" i="11"/>
  <c r="N6" i="11"/>
  <c r="M6" i="11"/>
  <c r="J6" i="11"/>
  <c r="I6" i="11"/>
  <c r="F6" i="11"/>
  <c r="E6" i="11"/>
  <c r="B6" i="11"/>
  <c r="A6" i="11"/>
  <c r="AT5" i="11"/>
  <c r="AS5" i="11"/>
  <c r="AP5" i="11"/>
  <c r="AO5" i="11"/>
  <c r="AL5" i="11"/>
  <c r="AK5" i="11"/>
  <c r="AH5" i="11"/>
  <c r="AG5" i="11"/>
  <c r="AD5" i="11"/>
  <c r="AC5" i="11"/>
  <c r="Z5" i="11"/>
  <c r="Y5" i="11"/>
  <c r="V5" i="11"/>
  <c r="U5" i="11"/>
  <c r="R5" i="11"/>
  <c r="Q5" i="11"/>
  <c r="N5" i="11"/>
  <c r="M5" i="11"/>
  <c r="J5" i="11"/>
  <c r="I5" i="11"/>
  <c r="F5" i="11"/>
  <c r="E5" i="11"/>
  <c r="B5" i="11"/>
  <c r="A5" i="11"/>
  <c r="AT4" i="11"/>
  <c r="AS4" i="11"/>
  <c r="AP4" i="11"/>
  <c r="AO4" i="11"/>
  <c r="AL4" i="11"/>
  <c r="AK4" i="11"/>
  <c r="AH4" i="11"/>
  <c r="AG4" i="11"/>
  <c r="AD4" i="11"/>
  <c r="AC4" i="11"/>
  <c r="Z4" i="11"/>
  <c r="Y4" i="11"/>
  <c r="V4" i="11"/>
  <c r="U4" i="11"/>
  <c r="R4" i="11"/>
  <c r="Q4" i="11"/>
  <c r="N4" i="11"/>
  <c r="M4" i="11"/>
  <c r="J4" i="11"/>
  <c r="I4" i="11"/>
  <c r="F4" i="11"/>
  <c r="E4" i="11"/>
  <c r="B4" i="11"/>
  <c r="A4" i="11"/>
  <c r="E1" i="11"/>
  <c r="AB3" i="10"/>
  <c r="N3" i="10"/>
  <c r="M3" i="10"/>
  <c r="L3" i="10"/>
  <c r="K3" i="10"/>
  <c r="J3" i="10"/>
  <c r="E3" i="7" s="1"/>
  <c r="I3" i="10"/>
  <c r="A3" i="10"/>
  <c r="P28" i="9"/>
  <c r="O28" i="9"/>
  <c r="N28" i="9"/>
  <c r="L28" i="9"/>
  <c r="K28" i="9"/>
  <c r="G28" i="9"/>
  <c r="E28" i="9"/>
  <c r="J28" i="9" s="1"/>
  <c r="C28" i="9"/>
  <c r="B28" i="9"/>
  <c r="P27" i="9"/>
  <c r="O27" i="9"/>
  <c r="N27" i="9"/>
  <c r="L27" i="9"/>
  <c r="K27" i="9"/>
  <c r="G27" i="9"/>
  <c r="E27" i="9"/>
  <c r="C27" i="9"/>
  <c r="B27" i="9"/>
  <c r="P26" i="9"/>
  <c r="O26" i="9"/>
  <c r="N26" i="9"/>
  <c r="L26" i="9"/>
  <c r="K26" i="9"/>
  <c r="G26" i="9"/>
  <c r="E26" i="9"/>
  <c r="C26" i="9"/>
  <c r="B26" i="9"/>
  <c r="P25" i="9"/>
  <c r="O25" i="9"/>
  <c r="N25" i="9"/>
  <c r="L25" i="9"/>
  <c r="K25" i="9"/>
  <c r="G25" i="9"/>
  <c r="E25" i="9"/>
  <c r="C25" i="9"/>
  <c r="B25" i="9"/>
  <c r="P24" i="9"/>
  <c r="O24" i="9"/>
  <c r="N24" i="9"/>
  <c r="L24" i="9"/>
  <c r="K24" i="9"/>
  <c r="G24" i="9"/>
  <c r="E24" i="9"/>
  <c r="J24" i="9" s="1"/>
  <c r="C24" i="9"/>
  <c r="B24" i="9"/>
  <c r="P23" i="9"/>
  <c r="O23" i="9"/>
  <c r="N23" i="9"/>
  <c r="L23" i="9"/>
  <c r="K23" i="9"/>
  <c r="G23" i="9"/>
  <c r="E23" i="9"/>
  <c r="C23" i="9"/>
  <c r="B23" i="9"/>
  <c r="P22" i="9"/>
  <c r="O22" i="9"/>
  <c r="N22" i="9"/>
  <c r="L22" i="9"/>
  <c r="K22" i="9"/>
  <c r="G22" i="9"/>
  <c r="E22" i="9"/>
  <c r="C22" i="9"/>
  <c r="B22" i="9"/>
  <c r="P21" i="9"/>
  <c r="O21" i="9"/>
  <c r="N21" i="9"/>
  <c r="L21" i="9"/>
  <c r="K21" i="9"/>
  <c r="G21" i="9"/>
  <c r="E21" i="9"/>
  <c r="C21" i="9"/>
  <c r="B21" i="9"/>
  <c r="P20" i="9"/>
  <c r="O20" i="9"/>
  <c r="N20" i="9"/>
  <c r="L20" i="9"/>
  <c r="K20" i="9"/>
  <c r="G20" i="9"/>
  <c r="E20" i="9"/>
  <c r="J20" i="9" s="1"/>
  <c r="C20" i="9"/>
  <c r="B20" i="9"/>
  <c r="P19" i="9"/>
  <c r="O19" i="9"/>
  <c r="N19" i="9"/>
  <c r="L19" i="9"/>
  <c r="K19" i="9"/>
  <c r="G19" i="9"/>
  <c r="E19" i="9"/>
  <c r="C19" i="9"/>
  <c r="B19" i="9"/>
  <c r="P18" i="9"/>
  <c r="O18" i="9"/>
  <c r="N18" i="9"/>
  <c r="L18" i="9"/>
  <c r="K18" i="9"/>
  <c r="G18" i="9"/>
  <c r="E18" i="9"/>
  <c r="C18" i="9"/>
  <c r="B18" i="9"/>
  <c r="P17" i="9"/>
  <c r="O17" i="9"/>
  <c r="N17" i="9"/>
  <c r="L17" i="9"/>
  <c r="K17" i="9"/>
  <c r="G17" i="9"/>
  <c r="E17" i="9"/>
  <c r="C17" i="9"/>
  <c r="B17" i="9"/>
  <c r="P16" i="9"/>
  <c r="O16" i="9"/>
  <c r="N16" i="9"/>
  <c r="L16" i="9"/>
  <c r="K16" i="9"/>
  <c r="G16" i="9"/>
  <c r="E16" i="9"/>
  <c r="J16" i="9" s="1"/>
  <c r="C16" i="9"/>
  <c r="B16" i="9"/>
  <c r="P15" i="9"/>
  <c r="O15" i="9"/>
  <c r="N15" i="9"/>
  <c r="L15" i="9"/>
  <c r="K15" i="9"/>
  <c r="G15" i="9"/>
  <c r="E15" i="9"/>
  <c r="C15" i="9"/>
  <c r="B15" i="9"/>
  <c r="P14" i="9"/>
  <c r="O14" i="9"/>
  <c r="N14" i="9"/>
  <c r="L14" i="9"/>
  <c r="K14" i="9"/>
  <c r="G14" i="9"/>
  <c r="E14" i="9"/>
  <c r="C14" i="9"/>
  <c r="B14" i="9"/>
  <c r="P13" i="9"/>
  <c r="O13" i="9"/>
  <c r="N13" i="9"/>
  <c r="L13" i="9"/>
  <c r="K13" i="9"/>
  <c r="G13" i="9"/>
  <c r="E13" i="9"/>
  <c r="C13" i="9"/>
  <c r="B13" i="9"/>
  <c r="P12" i="9"/>
  <c r="O12" i="9"/>
  <c r="N12" i="9"/>
  <c r="L12" i="9"/>
  <c r="K12" i="9"/>
  <c r="G12" i="9"/>
  <c r="E12" i="9"/>
  <c r="J12" i="9" s="1"/>
  <c r="C12" i="9"/>
  <c r="B12" i="9"/>
  <c r="P11" i="9"/>
  <c r="O11" i="9"/>
  <c r="N11" i="9"/>
  <c r="L11" i="9"/>
  <c r="K11" i="9"/>
  <c r="G11" i="9"/>
  <c r="E11" i="9"/>
  <c r="C11" i="9"/>
  <c r="B11" i="9"/>
  <c r="P10" i="9"/>
  <c r="O10" i="9"/>
  <c r="N10" i="9"/>
  <c r="L10" i="9"/>
  <c r="K10" i="9"/>
  <c r="G10" i="9"/>
  <c r="E10" i="9"/>
  <c r="C10" i="9"/>
  <c r="B10" i="9"/>
  <c r="P9" i="9"/>
  <c r="O9" i="9"/>
  <c r="N9" i="9"/>
  <c r="L9" i="9"/>
  <c r="K9" i="9"/>
  <c r="G9" i="9"/>
  <c r="E9" i="9"/>
  <c r="C9" i="9"/>
  <c r="B9" i="9"/>
  <c r="P8" i="9"/>
  <c r="O8" i="9"/>
  <c r="N8" i="9"/>
  <c r="L8" i="9"/>
  <c r="K8" i="9"/>
  <c r="G8" i="9"/>
  <c r="E8" i="9"/>
  <c r="J8" i="9" s="1"/>
  <c r="C8" i="9"/>
  <c r="B8" i="9"/>
  <c r="P7" i="9"/>
  <c r="O7" i="9"/>
  <c r="N7" i="9"/>
  <c r="L7" i="9"/>
  <c r="K7" i="9"/>
  <c r="G7" i="9"/>
  <c r="E7" i="9"/>
  <c r="C7" i="9"/>
  <c r="B7" i="9"/>
  <c r="P6" i="9"/>
  <c r="O6" i="9"/>
  <c r="N6" i="9"/>
  <c r="L6" i="9"/>
  <c r="K6" i="9"/>
  <c r="G6" i="9"/>
  <c r="E6" i="9"/>
  <c r="C6" i="9"/>
  <c r="B6" i="9"/>
  <c r="P5" i="9"/>
  <c r="O5" i="9"/>
  <c r="N5" i="9"/>
  <c r="L5" i="9"/>
  <c r="K5" i="9"/>
  <c r="G5" i="9"/>
  <c r="E5" i="9"/>
  <c r="C5" i="9"/>
  <c r="B5" i="9"/>
  <c r="H4" i="9"/>
  <c r="P23" i="8"/>
  <c r="O23" i="8"/>
  <c r="N23" i="8"/>
  <c r="L23" i="8"/>
  <c r="K23" i="8"/>
  <c r="G23" i="8"/>
  <c r="E23" i="8"/>
  <c r="C23" i="8"/>
  <c r="B23" i="8"/>
  <c r="P22" i="8"/>
  <c r="O22" i="8"/>
  <c r="N22" i="8"/>
  <c r="L22" i="8"/>
  <c r="K22" i="8"/>
  <c r="G22" i="8"/>
  <c r="E22" i="8"/>
  <c r="C22" i="8"/>
  <c r="B22" i="8"/>
  <c r="P21" i="8"/>
  <c r="O21" i="8"/>
  <c r="N21" i="8"/>
  <c r="L21" i="8"/>
  <c r="K21" i="8"/>
  <c r="G21" i="8"/>
  <c r="E21" i="8"/>
  <c r="C21" i="8"/>
  <c r="B21" i="8"/>
  <c r="P20" i="8"/>
  <c r="O20" i="8"/>
  <c r="N20" i="8"/>
  <c r="L20" i="8"/>
  <c r="K20" i="8"/>
  <c r="G20" i="8"/>
  <c r="E20" i="8"/>
  <c r="J20" i="8" s="1"/>
  <c r="C20" i="8"/>
  <c r="B20" i="8"/>
  <c r="P19" i="8"/>
  <c r="O19" i="8"/>
  <c r="N19" i="8"/>
  <c r="L19" i="8"/>
  <c r="K19" i="8"/>
  <c r="G19" i="8"/>
  <c r="E19" i="8"/>
  <c r="C19" i="8"/>
  <c r="B19" i="8"/>
  <c r="P18" i="8"/>
  <c r="O18" i="8"/>
  <c r="N18" i="8"/>
  <c r="L18" i="8"/>
  <c r="K18" i="8"/>
  <c r="G18" i="8"/>
  <c r="E18" i="8"/>
  <c r="C18" i="8"/>
  <c r="B18" i="8"/>
  <c r="P17" i="8"/>
  <c r="O17" i="8"/>
  <c r="N17" i="8"/>
  <c r="L17" i="8"/>
  <c r="K17" i="8"/>
  <c r="G17" i="8"/>
  <c r="E17" i="8"/>
  <c r="C17" i="8"/>
  <c r="B17" i="8"/>
  <c r="P16" i="8"/>
  <c r="O16" i="8"/>
  <c r="N16" i="8"/>
  <c r="L16" i="8"/>
  <c r="K16" i="8"/>
  <c r="G16" i="8"/>
  <c r="E16" i="8"/>
  <c r="J16" i="8" s="1"/>
  <c r="C16" i="8"/>
  <c r="B16" i="8"/>
  <c r="P15" i="8"/>
  <c r="O15" i="8"/>
  <c r="N15" i="8"/>
  <c r="L15" i="8"/>
  <c r="K15" i="8"/>
  <c r="G15" i="8"/>
  <c r="E15" i="8"/>
  <c r="C15" i="8"/>
  <c r="B15" i="8"/>
  <c r="P14" i="8"/>
  <c r="O14" i="8"/>
  <c r="N14" i="8"/>
  <c r="L14" i="8"/>
  <c r="K14" i="8"/>
  <c r="G14" i="8"/>
  <c r="E14" i="8"/>
  <c r="C14" i="8"/>
  <c r="B14" i="8"/>
  <c r="P13" i="8"/>
  <c r="O13" i="8"/>
  <c r="N13" i="8"/>
  <c r="L13" i="8"/>
  <c r="K13" i="8"/>
  <c r="G13" i="8"/>
  <c r="E13" i="8"/>
  <c r="C13" i="8"/>
  <c r="B13" i="8"/>
  <c r="P12" i="8"/>
  <c r="O12" i="8"/>
  <c r="N12" i="8"/>
  <c r="L12" i="8"/>
  <c r="K12" i="8"/>
  <c r="G12" i="8"/>
  <c r="E12" i="8"/>
  <c r="J12" i="8" s="1"/>
  <c r="C12" i="8"/>
  <c r="B12" i="8"/>
  <c r="P11" i="8"/>
  <c r="O11" i="8"/>
  <c r="N11" i="8"/>
  <c r="L11" i="8"/>
  <c r="K11" i="8"/>
  <c r="G11" i="8"/>
  <c r="E11" i="8"/>
  <c r="C11" i="8"/>
  <c r="B11" i="8"/>
  <c r="P10" i="8"/>
  <c r="O10" i="8"/>
  <c r="N10" i="8"/>
  <c r="L10" i="8"/>
  <c r="K10" i="8"/>
  <c r="G10" i="8"/>
  <c r="E10" i="8"/>
  <c r="C10" i="8"/>
  <c r="B10" i="8"/>
  <c r="P9" i="8"/>
  <c r="O9" i="8"/>
  <c r="N9" i="8"/>
  <c r="L9" i="8"/>
  <c r="K9" i="8"/>
  <c r="G9" i="8"/>
  <c r="E9" i="8"/>
  <c r="C9" i="8"/>
  <c r="B9" i="8"/>
  <c r="P8" i="8"/>
  <c r="O8" i="8"/>
  <c r="N8" i="8"/>
  <c r="L8" i="8"/>
  <c r="K8" i="8"/>
  <c r="G8" i="8"/>
  <c r="E8" i="8"/>
  <c r="J8" i="8" s="1"/>
  <c r="C8" i="8"/>
  <c r="B8" i="8"/>
  <c r="P7" i="8"/>
  <c r="O7" i="8"/>
  <c r="N7" i="8"/>
  <c r="L7" i="8"/>
  <c r="K7" i="8"/>
  <c r="G7" i="8"/>
  <c r="E7" i="8"/>
  <c r="C7" i="8"/>
  <c r="B7" i="8"/>
  <c r="P6" i="8"/>
  <c r="O6" i="8"/>
  <c r="N6" i="8"/>
  <c r="L6" i="8"/>
  <c r="K6" i="8"/>
  <c r="G6" i="8"/>
  <c r="E6" i="8"/>
  <c r="C6" i="8"/>
  <c r="B6" i="8"/>
  <c r="P5" i="8"/>
  <c r="O5" i="8"/>
  <c r="N5" i="8"/>
  <c r="L5" i="8"/>
  <c r="K5" i="8"/>
  <c r="G5" i="8"/>
  <c r="E5" i="8"/>
  <c r="C5" i="8"/>
  <c r="B5" i="8"/>
  <c r="H4" i="8"/>
  <c r="A934" i="7"/>
  <c r="K3" i="7"/>
  <c r="J3" i="7"/>
  <c r="I3" i="7"/>
  <c r="H3" i="7"/>
  <c r="F3" i="7"/>
  <c r="A3" i="7"/>
  <c r="G64" i="6"/>
  <c r="D64" i="6"/>
  <c r="A64" i="6"/>
  <c r="D63" i="6"/>
  <c r="E63" i="6" s="1"/>
  <c r="D62" i="6"/>
  <c r="E62" i="6" s="1"/>
  <c r="D61" i="6"/>
  <c r="E61" i="6" s="1"/>
  <c r="D60" i="6"/>
  <c r="E60" i="6" s="1"/>
  <c r="D59" i="6"/>
  <c r="E59" i="6" s="1"/>
  <c r="A59" i="6"/>
  <c r="D58" i="6"/>
  <c r="E58" i="6" s="1"/>
  <c r="D57" i="6"/>
  <c r="E57" i="6" s="1"/>
  <c r="A57" i="6"/>
  <c r="D56" i="6"/>
  <c r="E56" i="6" s="1"/>
  <c r="D55" i="6"/>
  <c r="E55" i="6" s="1"/>
  <c r="D54" i="6"/>
  <c r="A54" i="6"/>
  <c r="G53" i="6"/>
  <c r="D53" i="6"/>
  <c r="D52" i="6"/>
  <c r="E52" i="6" s="1"/>
  <c r="D51" i="6"/>
  <c r="D50" i="6"/>
  <c r="E50" i="6" s="1"/>
  <c r="G49" i="6"/>
  <c r="D49" i="6"/>
  <c r="A49" i="6"/>
  <c r="G48" i="6"/>
  <c r="D48" i="6"/>
  <c r="E48" i="6" s="1"/>
  <c r="D47" i="6"/>
  <c r="D46" i="6"/>
  <c r="E46" i="6" s="1"/>
  <c r="D45" i="6"/>
  <c r="G44" i="6"/>
  <c r="D44" i="6"/>
  <c r="E44" i="6" s="1"/>
  <c r="D43" i="6"/>
  <c r="D42" i="6"/>
  <c r="E42" i="6" s="1"/>
  <c r="D41" i="6"/>
  <c r="G40" i="6"/>
  <c r="D40" i="6"/>
  <c r="A40" i="6"/>
  <c r="D39" i="6"/>
  <c r="E39" i="6" s="1"/>
  <c r="G38" i="6"/>
  <c r="D38" i="6"/>
  <c r="D37" i="6"/>
  <c r="E37" i="6" s="1"/>
  <c r="G36" i="6"/>
  <c r="D36" i="6"/>
  <c r="D35" i="6"/>
  <c r="E35" i="6" s="1"/>
  <c r="G34" i="6"/>
  <c r="D34" i="6"/>
  <c r="D33" i="6"/>
  <c r="E33" i="6" s="1"/>
  <c r="A33" i="6"/>
  <c r="D32" i="6"/>
  <c r="D31" i="6"/>
  <c r="E31" i="6" s="1"/>
  <c r="D30" i="6"/>
  <c r="G29" i="6"/>
  <c r="D29" i="6"/>
  <c r="D28" i="6"/>
  <c r="D27" i="6"/>
  <c r="E27" i="6" s="1"/>
  <c r="D26" i="6"/>
  <c r="A26" i="6"/>
  <c r="G25" i="6"/>
  <c r="D25" i="6"/>
  <c r="F25" i="6" s="1"/>
  <c r="D24" i="6"/>
  <c r="E24" i="6" s="1"/>
  <c r="D23" i="6"/>
  <c r="D22" i="6"/>
  <c r="E22" i="6" s="1"/>
  <c r="G21" i="6"/>
  <c r="D21" i="6"/>
  <c r="D20" i="6"/>
  <c r="E20" i="6" s="1"/>
  <c r="A20" i="6"/>
  <c r="D19" i="6"/>
  <c r="D18" i="6"/>
  <c r="E18" i="6" s="1"/>
  <c r="D17" i="6"/>
  <c r="G16" i="6"/>
  <c r="D16" i="6"/>
  <c r="D15" i="6"/>
  <c r="D14" i="6"/>
  <c r="E14" i="6" s="1"/>
  <c r="D13" i="6"/>
  <c r="G12" i="6"/>
  <c r="D12" i="6"/>
  <c r="D11" i="6"/>
  <c r="D10" i="6"/>
  <c r="E10" i="6" s="1"/>
  <c r="D9" i="6"/>
  <c r="G8" i="6"/>
  <c r="D8" i="6"/>
  <c r="D7" i="6"/>
  <c r="A7" i="6"/>
  <c r="G6" i="6"/>
  <c r="D6" i="6"/>
  <c r="D5" i="6"/>
  <c r="D4" i="6"/>
  <c r="D3" i="6"/>
  <c r="E3" i="6" s="1"/>
  <c r="A3" i="6"/>
  <c r="M2" i="6"/>
  <c r="J2" i="6"/>
  <c r="I2" i="6"/>
  <c r="F2" i="6"/>
  <c r="C2" i="6"/>
  <c r="G63" i="6"/>
  <c r="G59" i="6"/>
  <c r="G52" i="6"/>
  <c r="G51" i="6"/>
  <c r="D19" i="8"/>
  <c r="I19" i="8" s="1"/>
  <c r="F14" i="8"/>
  <c r="G24" i="6"/>
  <c r="G23" i="6"/>
  <c r="G20" i="6"/>
  <c r="D9" i="8"/>
  <c r="I9" i="8" s="1"/>
  <c r="I3" i="5"/>
  <c r="F6" i="8" s="1"/>
  <c r="E3" i="5"/>
  <c r="H3" i="5" s="1"/>
  <c r="A3" i="5"/>
  <c r="O2" i="5"/>
  <c r="L2" i="5"/>
  <c r="K2" i="5"/>
  <c r="H2" i="5"/>
  <c r="D2" i="5"/>
  <c r="C2" i="5"/>
  <c r="A996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64" i="3"/>
  <c r="E64" i="3" s="1"/>
  <c r="B64" i="3"/>
  <c r="C63" i="3"/>
  <c r="E63" i="3" s="1"/>
  <c r="B63" i="3"/>
  <c r="C62" i="3"/>
  <c r="E62" i="3" s="1"/>
  <c r="B62" i="3"/>
  <c r="C61" i="3"/>
  <c r="E61" i="3" s="1"/>
  <c r="B61" i="3"/>
  <c r="C60" i="3"/>
  <c r="E60" i="3" s="1"/>
  <c r="B60" i="3"/>
  <c r="C59" i="3"/>
  <c r="E59" i="3" s="1"/>
  <c r="B59" i="3"/>
  <c r="C58" i="3"/>
  <c r="E58" i="3" s="1"/>
  <c r="B58" i="3"/>
  <c r="C57" i="3"/>
  <c r="E57" i="3" s="1"/>
  <c r="B57" i="3"/>
  <c r="C56" i="3"/>
  <c r="E56" i="3" s="1"/>
  <c r="B56" i="3"/>
  <c r="C55" i="3"/>
  <c r="E55" i="3" s="1"/>
  <c r="B55" i="3"/>
  <c r="C54" i="3"/>
  <c r="E54" i="3" s="1"/>
  <c r="B54" i="3"/>
  <c r="C53" i="3"/>
  <c r="E53" i="3" s="1"/>
  <c r="B53" i="3"/>
  <c r="C52" i="3"/>
  <c r="E52" i="3" s="1"/>
  <c r="B52" i="3"/>
  <c r="C51" i="3"/>
  <c r="E51" i="3" s="1"/>
  <c r="B51" i="3"/>
  <c r="C50" i="3"/>
  <c r="E50" i="3" s="1"/>
  <c r="B50" i="3"/>
  <c r="C49" i="3"/>
  <c r="E49" i="3" s="1"/>
  <c r="B49" i="3"/>
  <c r="C48" i="3"/>
  <c r="E48" i="3" s="1"/>
  <c r="B48" i="3"/>
  <c r="C47" i="3"/>
  <c r="E47" i="3" s="1"/>
  <c r="B47" i="3"/>
  <c r="C46" i="3"/>
  <c r="E46" i="3" s="1"/>
  <c r="B46" i="3"/>
  <c r="C45" i="3"/>
  <c r="E45" i="3" s="1"/>
  <c r="B45" i="3"/>
  <c r="C44" i="3"/>
  <c r="E44" i="3" s="1"/>
  <c r="B44" i="3"/>
  <c r="C43" i="3"/>
  <c r="E43" i="3" s="1"/>
  <c r="B43" i="3"/>
  <c r="C42" i="3"/>
  <c r="E42" i="3" s="1"/>
  <c r="B42" i="3"/>
  <c r="C41" i="3"/>
  <c r="E41" i="3" s="1"/>
  <c r="B41" i="3"/>
  <c r="C40" i="3"/>
  <c r="E40" i="3" s="1"/>
  <c r="B40" i="3"/>
  <c r="C39" i="3"/>
  <c r="E39" i="3" s="1"/>
  <c r="B39" i="3"/>
  <c r="C38" i="3"/>
  <c r="E38" i="3" s="1"/>
  <c r="B38" i="3"/>
  <c r="C37" i="3"/>
  <c r="E37" i="3" s="1"/>
  <c r="B37" i="3"/>
  <c r="C36" i="3"/>
  <c r="E36" i="3" s="1"/>
  <c r="B36" i="3"/>
  <c r="C35" i="3"/>
  <c r="E35" i="3" s="1"/>
  <c r="B35" i="3"/>
  <c r="C34" i="3"/>
  <c r="E34" i="3" s="1"/>
  <c r="B34" i="3"/>
  <c r="C33" i="3"/>
  <c r="E33" i="3" s="1"/>
  <c r="B33" i="3"/>
  <c r="C32" i="3"/>
  <c r="E32" i="3" s="1"/>
  <c r="B32" i="3"/>
  <c r="C31" i="3"/>
  <c r="E31" i="3" s="1"/>
  <c r="B31" i="3"/>
  <c r="C30" i="3"/>
  <c r="E30" i="3" s="1"/>
  <c r="B30" i="3"/>
  <c r="C29" i="3"/>
  <c r="E29" i="3" s="1"/>
  <c r="B29" i="3"/>
  <c r="C28" i="3"/>
  <c r="E28" i="3" s="1"/>
  <c r="B28" i="3"/>
  <c r="C27" i="3"/>
  <c r="E27" i="3" s="1"/>
  <c r="B27" i="3"/>
  <c r="C26" i="3"/>
  <c r="E26" i="3" s="1"/>
  <c r="B26" i="3"/>
  <c r="C25" i="3"/>
  <c r="E25" i="3" s="1"/>
  <c r="B25" i="3"/>
  <c r="C24" i="3"/>
  <c r="E24" i="3" s="1"/>
  <c r="B24" i="3"/>
  <c r="C23" i="3"/>
  <c r="E23" i="3" s="1"/>
  <c r="B23" i="3"/>
  <c r="C22" i="3"/>
  <c r="E22" i="3" s="1"/>
  <c r="B22" i="3"/>
  <c r="C21" i="3"/>
  <c r="E21" i="3" s="1"/>
  <c r="B21" i="3"/>
  <c r="C20" i="3"/>
  <c r="E20" i="3" s="1"/>
  <c r="B20" i="3"/>
  <c r="C19" i="3"/>
  <c r="E19" i="3" s="1"/>
  <c r="B19" i="3"/>
  <c r="C18" i="3"/>
  <c r="E18" i="3" s="1"/>
  <c r="B18" i="3"/>
  <c r="C17" i="3"/>
  <c r="E17" i="3" s="1"/>
  <c r="B17" i="3"/>
  <c r="C16" i="3"/>
  <c r="E16" i="3" s="1"/>
  <c r="B16" i="3"/>
  <c r="C15" i="3"/>
  <c r="E15" i="3" s="1"/>
  <c r="B15" i="3"/>
  <c r="C14" i="3"/>
  <c r="E14" i="3" s="1"/>
  <c r="B14" i="3"/>
  <c r="C13" i="3"/>
  <c r="E13" i="3" s="1"/>
  <c r="B13" i="3"/>
  <c r="C12" i="3"/>
  <c r="E12" i="3" s="1"/>
  <c r="B12" i="3"/>
  <c r="C11" i="3"/>
  <c r="E11" i="3" s="1"/>
  <c r="B11" i="3"/>
  <c r="C10" i="3"/>
  <c r="E10" i="3" s="1"/>
  <c r="B10" i="3"/>
  <c r="C9" i="3"/>
  <c r="E9" i="3" s="1"/>
  <c r="B9" i="3"/>
  <c r="C8" i="3"/>
  <c r="E8" i="3" s="1"/>
  <c r="B8" i="3"/>
  <c r="C7" i="3"/>
  <c r="E7" i="3" s="1"/>
  <c r="B7" i="3"/>
  <c r="C6" i="3"/>
  <c r="E6" i="3" s="1"/>
  <c r="B6" i="3"/>
  <c r="C5" i="3"/>
  <c r="E5" i="3" s="1"/>
  <c r="B5" i="3"/>
  <c r="C4" i="3"/>
  <c r="E4" i="3" s="1"/>
  <c r="B4" i="3"/>
  <c r="C3" i="3"/>
  <c r="E3" i="3" s="1"/>
  <c r="B3" i="3"/>
  <c r="M3" i="2"/>
  <c r="L3" i="2"/>
  <c r="K3" i="2"/>
  <c r="J3" i="2"/>
  <c r="I3" i="2"/>
  <c r="H3" i="2"/>
  <c r="G3" i="2"/>
  <c r="F3" i="2"/>
  <c r="E3" i="2"/>
  <c r="D3" i="2"/>
  <c r="C3" i="2"/>
  <c r="B3" i="2"/>
  <c r="N3" i="2" s="1"/>
  <c r="M2" i="2"/>
  <c r="L2" i="2"/>
  <c r="K2" i="2"/>
  <c r="J2" i="2"/>
  <c r="N2" i="2" s="1"/>
  <c r="G68" i="1"/>
  <c r="G67" i="1"/>
  <c r="G66" i="1"/>
  <c r="G65" i="1"/>
  <c r="G139" i="1" s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F2" i="1"/>
  <c r="C3" i="1" s="1"/>
  <c r="E2" i="1"/>
  <c r="C2" i="1"/>
  <c r="J5" i="8" l="1"/>
  <c r="J13" i="8"/>
  <c r="J21" i="8"/>
  <c r="J5" i="9"/>
  <c r="J4" i="9" s="1"/>
  <c r="J9" i="9"/>
  <c r="J13" i="9"/>
  <c r="J17" i="9"/>
  <c r="J21" i="9"/>
  <c r="J25" i="9"/>
  <c r="J16" i="14"/>
  <c r="J20" i="14"/>
  <c r="J9" i="15"/>
  <c r="J13" i="15"/>
  <c r="J17" i="15"/>
  <c r="J21" i="15"/>
  <c r="J5" i="17"/>
  <c r="K3" i="5"/>
  <c r="J6" i="8"/>
  <c r="L3" i="5"/>
  <c r="J10" i="16"/>
  <c r="J14" i="16"/>
  <c r="J18" i="16"/>
  <c r="J22" i="16"/>
  <c r="J26" i="16"/>
  <c r="J7" i="17"/>
  <c r="J11" i="17"/>
  <c r="J15" i="17"/>
  <c r="J23" i="17"/>
  <c r="J8" i="18"/>
  <c r="J16" i="18"/>
  <c r="J5" i="19"/>
  <c r="J9" i="19"/>
  <c r="J13" i="19"/>
  <c r="J17" i="19"/>
  <c r="J28" i="20"/>
  <c r="J7" i="21"/>
  <c r="J11" i="21"/>
  <c r="J15" i="21"/>
  <c r="J19" i="21"/>
  <c r="J23" i="21"/>
  <c r="J10" i="8"/>
  <c r="J22" i="8"/>
  <c r="J6" i="9"/>
  <c r="J18" i="13"/>
  <c r="J22" i="13"/>
  <c r="J5" i="14"/>
  <c r="J6" i="15"/>
  <c r="J12" i="16"/>
  <c r="J16" i="16"/>
  <c r="J20" i="16"/>
  <c r="J24" i="16"/>
  <c r="J9" i="17"/>
  <c r="J13" i="17"/>
  <c r="J17" i="17"/>
  <c r="J14" i="18"/>
  <c r="J18" i="18"/>
  <c r="J22" i="18"/>
  <c r="J7" i="19"/>
  <c r="J11" i="19"/>
  <c r="J15" i="19"/>
  <c r="J23" i="19"/>
  <c r="J27" i="19"/>
  <c r="J6" i="20"/>
  <c r="J10" i="20"/>
  <c r="J14" i="20"/>
  <c r="J18" i="20"/>
  <c r="J22" i="20"/>
  <c r="J26" i="20"/>
  <c r="J5" i="21"/>
  <c r="C4" i="21"/>
  <c r="J9" i="21"/>
  <c r="J13" i="21"/>
  <c r="J17" i="21"/>
  <c r="J21" i="21"/>
  <c r="J25" i="21"/>
  <c r="J14" i="8"/>
  <c r="J18" i="8"/>
  <c r="J10" i="9"/>
  <c r="J14" i="9"/>
  <c r="J22" i="9"/>
  <c r="J8" i="12"/>
  <c r="J12" i="12"/>
  <c r="J20" i="12"/>
  <c r="J24" i="12"/>
  <c r="J6" i="13"/>
  <c r="J14" i="13"/>
  <c r="J9" i="14"/>
  <c r="J10" i="15"/>
  <c r="J14" i="15"/>
  <c r="J18" i="15"/>
  <c r="J8" i="16"/>
  <c r="J7" i="8"/>
  <c r="J15" i="8"/>
  <c r="J23" i="8"/>
  <c r="J7" i="9"/>
  <c r="J11" i="9"/>
  <c r="J15" i="9"/>
  <c r="J19" i="9"/>
  <c r="J23" i="9"/>
  <c r="J27" i="9"/>
  <c r="J13" i="12"/>
  <c r="J21" i="12"/>
  <c r="J7" i="13"/>
  <c r="J15" i="13"/>
  <c r="J23" i="13"/>
  <c r="J10" i="14"/>
  <c r="J18" i="14"/>
  <c r="J22" i="14"/>
  <c r="J7" i="15"/>
  <c r="J11" i="15"/>
  <c r="J15" i="15"/>
  <c r="J19" i="15"/>
  <c r="J23" i="15"/>
  <c r="J9" i="16"/>
  <c r="J13" i="16"/>
  <c r="J17" i="16"/>
  <c r="J21" i="16"/>
  <c r="J25" i="16"/>
  <c r="J6" i="17"/>
  <c r="J10" i="17"/>
  <c r="J14" i="17"/>
  <c r="J18" i="17"/>
  <c r="J22" i="17"/>
  <c r="J26" i="17"/>
  <c r="J7" i="18"/>
  <c r="J11" i="18"/>
  <c r="J15" i="18"/>
  <c r="J19" i="18"/>
  <c r="C4" i="19"/>
  <c r="J8" i="19"/>
  <c r="J16" i="19"/>
  <c r="J20" i="19"/>
  <c r="J24" i="19"/>
  <c r="J28" i="19"/>
  <c r="J7" i="20"/>
  <c r="J18" i="9"/>
  <c r="J26" i="9"/>
  <c r="J16" i="12"/>
  <c r="J10" i="13"/>
  <c r="C4" i="14"/>
  <c r="J13" i="14"/>
  <c r="J25" i="14"/>
  <c r="J22" i="15"/>
  <c r="F38" i="6"/>
  <c r="C4" i="9"/>
  <c r="C4" i="13"/>
  <c r="J15" i="14"/>
  <c r="C4" i="15"/>
  <c r="J12" i="15"/>
  <c r="J6" i="16"/>
  <c r="J20" i="18"/>
  <c r="J21" i="19"/>
  <c r="J25" i="19"/>
  <c r="C4" i="20"/>
  <c r="J8" i="20"/>
  <c r="J12" i="20"/>
  <c r="J16" i="20"/>
  <c r="J20" i="20"/>
  <c r="J24" i="20"/>
  <c r="B14" i="4"/>
  <c r="B21" i="4"/>
  <c r="B29" i="4"/>
  <c r="B46" i="4"/>
  <c r="B59" i="4"/>
  <c r="B61" i="4"/>
  <c r="B13" i="4"/>
  <c r="B18" i="4"/>
  <c r="O3" i="10"/>
  <c r="C3" i="4"/>
  <c r="C19" i="4"/>
  <c r="B36" i="4"/>
  <c r="B52" i="4"/>
  <c r="B3" i="10"/>
  <c r="B11" i="4"/>
  <c r="B27" i="4"/>
  <c r="B50" i="4"/>
  <c r="C34" i="4"/>
  <c r="C14" i="4"/>
  <c r="B23" i="4"/>
  <c r="B30" i="4"/>
  <c r="B33" i="4"/>
  <c r="B53" i="4"/>
  <c r="C62" i="4"/>
  <c r="B6" i="4"/>
  <c r="B7" i="4"/>
  <c r="C8" i="4"/>
  <c r="B10" i="4"/>
  <c r="B15" i="4"/>
  <c r="B22" i="4"/>
  <c r="C30" i="4"/>
  <c r="B34" i="4"/>
  <c r="B37" i="4"/>
  <c r="C43" i="4"/>
  <c r="B49" i="4"/>
  <c r="B60" i="4"/>
  <c r="L3" i="7"/>
  <c r="C2" i="4" s="1"/>
  <c r="B4" i="4"/>
  <c r="C12" i="4"/>
  <c r="B20" i="4"/>
  <c r="B41" i="4"/>
  <c r="B44" i="4"/>
  <c r="C51" i="4"/>
  <c r="B54" i="4"/>
  <c r="B58" i="4"/>
  <c r="B19" i="4"/>
  <c r="C22" i="4"/>
  <c r="C27" i="4"/>
  <c r="G3" i="7"/>
  <c r="B2" i="4" s="1"/>
  <c r="B3" i="4"/>
  <c r="B12" i="4"/>
  <c r="B28" i="4"/>
  <c r="C35" i="4"/>
  <c r="B38" i="4"/>
  <c r="B39" i="4"/>
  <c r="B42" i="4"/>
  <c r="B57" i="4"/>
  <c r="C59" i="4"/>
  <c r="B62" i="4"/>
  <c r="M14" i="20"/>
  <c r="M22" i="20"/>
  <c r="M25" i="21"/>
  <c r="M17" i="18"/>
  <c r="M9" i="20"/>
  <c r="M17" i="20"/>
  <c r="M25" i="20"/>
  <c r="M20" i="21"/>
  <c r="M25" i="9"/>
  <c r="M5" i="8"/>
  <c r="M9" i="8"/>
  <c r="M17" i="8"/>
  <c r="M5" i="9"/>
  <c r="M9" i="9"/>
  <c r="M11" i="14"/>
  <c r="M8" i="18"/>
  <c r="M11" i="18"/>
  <c r="M15" i="18"/>
  <c r="J12" i="19"/>
  <c r="M7" i="21"/>
  <c r="M15" i="21"/>
  <c r="M23" i="21"/>
  <c r="AN35" i="11"/>
  <c r="M11" i="15"/>
  <c r="M15" i="15"/>
  <c r="M19" i="15"/>
  <c r="M9" i="21"/>
  <c r="M12" i="9"/>
  <c r="M16" i="9"/>
  <c r="M28" i="9"/>
  <c r="K4" i="20"/>
  <c r="D5" i="8"/>
  <c r="I5" i="8" s="1"/>
  <c r="M23" i="15"/>
  <c r="M5" i="16"/>
  <c r="M13" i="16"/>
  <c r="M17" i="16"/>
  <c r="M21" i="16"/>
  <c r="M25" i="16"/>
  <c r="M22" i="17"/>
  <c r="M26" i="17"/>
  <c r="M7" i="18"/>
  <c r="M23" i="8"/>
  <c r="K4" i="15"/>
  <c r="M9" i="15"/>
  <c r="M13" i="15"/>
  <c r="M17" i="15"/>
  <c r="M21" i="15"/>
  <c r="L4" i="18"/>
  <c r="L2" i="18" s="1"/>
  <c r="D87" i="1" s="1"/>
  <c r="F36" i="3"/>
  <c r="G36" i="3" s="1"/>
  <c r="M22" i="8"/>
  <c r="M10" i="14"/>
  <c r="M13" i="14"/>
  <c r="M17" i="14"/>
  <c r="M21" i="14"/>
  <c r="M25" i="14"/>
  <c r="M5" i="18"/>
  <c r="M13" i="18"/>
  <c r="M21" i="18"/>
  <c r="G3" i="5"/>
  <c r="M7" i="8"/>
  <c r="M19" i="8"/>
  <c r="G4" i="9"/>
  <c r="M7" i="9"/>
  <c r="M19" i="9"/>
  <c r="M23" i="9"/>
  <c r="M12" i="20"/>
  <c r="M20" i="20"/>
  <c r="M28" i="20"/>
  <c r="F9" i="3"/>
  <c r="G9" i="3" s="1"/>
  <c r="M13" i="9"/>
  <c r="M17" i="9"/>
  <c r="M20" i="17"/>
  <c r="M8" i="19"/>
  <c r="M17" i="21"/>
  <c r="P33" i="22"/>
  <c r="F27" i="3"/>
  <c r="G27" i="3" s="1"/>
  <c r="F31" i="3"/>
  <c r="G31" i="3" s="1"/>
  <c r="M23" i="17"/>
  <c r="G4" i="18"/>
  <c r="M9" i="18"/>
  <c r="M19" i="18"/>
  <c r="K4" i="19"/>
  <c r="M17" i="19"/>
  <c r="M21" i="19"/>
  <c r="M6" i="20"/>
  <c r="M10" i="20"/>
  <c r="M18" i="20"/>
  <c r="M26" i="20"/>
  <c r="M5" i="21"/>
  <c r="M13" i="21"/>
  <c r="M21" i="21"/>
  <c r="F5" i="3"/>
  <c r="G5" i="3" s="1"/>
  <c r="F44" i="6"/>
  <c r="M11" i="8"/>
  <c r="M20" i="9"/>
  <c r="M21" i="9"/>
  <c r="M24" i="9"/>
  <c r="M27" i="9"/>
  <c r="M6" i="12"/>
  <c r="M10" i="12"/>
  <c r="M14" i="12"/>
  <c r="M18" i="12"/>
  <c r="M22" i="12"/>
  <c r="M8" i="13"/>
  <c r="M12" i="13"/>
  <c r="M16" i="13"/>
  <c r="M20" i="13"/>
  <c r="M24" i="13"/>
  <c r="M7" i="14"/>
  <c r="M14" i="14"/>
  <c r="M18" i="14"/>
  <c r="M22" i="14"/>
  <c r="M26" i="14"/>
  <c r="E4" i="15"/>
  <c r="K4" i="16"/>
  <c r="M8" i="16"/>
  <c r="M12" i="16"/>
  <c r="M16" i="16"/>
  <c r="M20" i="16"/>
  <c r="K4" i="17"/>
  <c r="M8" i="17"/>
  <c r="M12" i="17"/>
  <c r="M24" i="17"/>
  <c r="M15" i="19"/>
  <c r="M25" i="19"/>
  <c r="M11" i="21"/>
  <c r="L33" i="22"/>
  <c r="D33" i="22"/>
  <c r="D35" i="11"/>
  <c r="T35" i="11"/>
  <c r="AR35" i="11"/>
  <c r="M6" i="19"/>
  <c r="M13" i="19"/>
  <c r="M22" i="19"/>
  <c r="M26" i="19"/>
  <c r="M16" i="20"/>
  <c r="M24" i="20"/>
  <c r="G4" i="21"/>
  <c r="M12" i="21"/>
  <c r="M19" i="21"/>
  <c r="K4" i="8"/>
  <c r="L35" i="11"/>
  <c r="AB35" i="11"/>
  <c r="AJ35" i="11"/>
  <c r="F43" i="3"/>
  <c r="G43" i="3" s="1"/>
  <c r="F47" i="3"/>
  <c r="F59" i="3"/>
  <c r="G59" i="3" s="1"/>
  <c r="M16" i="8"/>
  <c r="M18" i="8"/>
  <c r="M21" i="8"/>
  <c r="M8" i="9"/>
  <c r="M11" i="9"/>
  <c r="M15" i="9"/>
  <c r="M8" i="12"/>
  <c r="M12" i="12"/>
  <c r="M16" i="12"/>
  <c r="M20" i="12"/>
  <c r="M24" i="12"/>
  <c r="M6" i="13"/>
  <c r="M10" i="13"/>
  <c r="M14" i="13"/>
  <c r="M18" i="13"/>
  <c r="M22" i="13"/>
  <c r="M5" i="14"/>
  <c r="M9" i="14"/>
  <c r="M16" i="14"/>
  <c r="M20" i="14"/>
  <c r="M24" i="14"/>
  <c r="M8" i="15"/>
  <c r="M12" i="15"/>
  <c r="M16" i="15"/>
  <c r="M20" i="15"/>
  <c r="M24" i="15"/>
  <c r="E4" i="16"/>
  <c r="M6" i="16"/>
  <c r="M18" i="16"/>
  <c r="M22" i="16"/>
  <c r="M26" i="16"/>
  <c r="E4" i="17"/>
  <c r="M6" i="17"/>
  <c r="M10" i="17"/>
  <c r="F46" i="3"/>
  <c r="G46" i="3" s="1"/>
  <c r="F38" i="3"/>
  <c r="G38" i="3" s="1"/>
  <c r="F41" i="3"/>
  <c r="G41" i="3" s="1"/>
  <c r="E12" i="6"/>
  <c r="F12" i="6"/>
  <c r="F4" i="3"/>
  <c r="G4" i="3" s="1"/>
  <c r="F8" i="3"/>
  <c r="G8" i="3" s="1"/>
  <c r="F14" i="3"/>
  <c r="G14" i="3" s="1"/>
  <c r="F18" i="3"/>
  <c r="G18" i="3" s="1"/>
  <c r="F22" i="3"/>
  <c r="G22" i="3" s="1"/>
  <c r="F51" i="3"/>
  <c r="G51" i="3" s="1"/>
  <c r="F54" i="3"/>
  <c r="G54" i="3" s="1"/>
  <c r="D13" i="8"/>
  <c r="I13" i="8" s="1"/>
  <c r="E16" i="6"/>
  <c r="F16" i="6"/>
  <c r="E29" i="6"/>
  <c r="F29" i="6"/>
  <c r="F45" i="3"/>
  <c r="G45" i="3" s="1"/>
  <c r="F10" i="3"/>
  <c r="G10" i="3" s="1"/>
  <c r="F26" i="3"/>
  <c r="G26" i="3" s="1"/>
  <c r="F30" i="3"/>
  <c r="G30" i="3" s="1"/>
  <c r="F58" i="3"/>
  <c r="G58" i="3" s="1"/>
  <c r="F62" i="3"/>
  <c r="G62" i="3" s="1"/>
  <c r="F64" i="3"/>
  <c r="G64" i="3" s="1"/>
  <c r="E5" i="6"/>
  <c r="D2" i="6"/>
  <c r="E40" i="6"/>
  <c r="F40" i="6"/>
  <c r="F13" i="3"/>
  <c r="G13" i="3" s="1"/>
  <c r="F17" i="3"/>
  <c r="G17" i="3" s="1"/>
  <c r="F21" i="3"/>
  <c r="G21" i="3" s="1"/>
  <c r="F25" i="3"/>
  <c r="F50" i="3"/>
  <c r="G50" i="3" s="1"/>
  <c r="F63" i="3"/>
  <c r="G63" i="3" s="1"/>
  <c r="A2" i="5"/>
  <c r="D9" i="9"/>
  <c r="I9" i="9" s="1"/>
  <c r="E8" i="6"/>
  <c r="F8" i="6"/>
  <c r="F48" i="6"/>
  <c r="G4" i="8"/>
  <c r="L4" i="9"/>
  <c r="L2" i="9" s="1"/>
  <c r="M10" i="16"/>
  <c r="M14" i="16"/>
  <c r="M5" i="17"/>
  <c r="M9" i="17"/>
  <c r="M13" i="17"/>
  <c r="M14" i="17"/>
  <c r="M17" i="17"/>
  <c r="M18" i="17"/>
  <c r="M18" i="18"/>
  <c r="M19" i="19"/>
  <c r="M24" i="19"/>
  <c r="M27" i="19"/>
  <c r="M7" i="20"/>
  <c r="M21" i="20"/>
  <c r="L4" i="21"/>
  <c r="K4" i="21"/>
  <c r="M8" i="21"/>
  <c r="M24" i="21"/>
  <c r="M13" i="8"/>
  <c r="E4" i="9"/>
  <c r="M14" i="9"/>
  <c r="M22" i="9"/>
  <c r="M23" i="13"/>
  <c r="M15" i="14"/>
  <c r="J19" i="14"/>
  <c r="M19" i="14"/>
  <c r="M23" i="14"/>
  <c r="M6" i="15"/>
  <c r="M10" i="15"/>
  <c r="M14" i="15"/>
  <c r="M18" i="15"/>
  <c r="M22" i="15"/>
  <c r="G4" i="16"/>
  <c r="M7" i="16"/>
  <c r="M11" i="16"/>
  <c r="M15" i="16"/>
  <c r="M19" i="16"/>
  <c r="M23" i="16"/>
  <c r="D7" i="9"/>
  <c r="I7" i="9" s="1"/>
  <c r="X35" i="11"/>
  <c r="M21" i="12"/>
  <c r="M15" i="13"/>
  <c r="G4" i="15"/>
  <c r="M7" i="15"/>
  <c r="M24" i="16"/>
  <c r="G4" i="17"/>
  <c r="M7" i="17"/>
  <c r="M11" i="17"/>
  <c r="M15" i="17"/>
  <c r="M16" i="17"/>
  <c r="M14" i="18"/>
  <c r="M22" i="18"/>
  <c r="G4" i="19"/>
  <c r="M11" i="19"/>
  <c r="M20" i="19"/>
  <c r="M23" i="19"/>
  <c r="M28" i="19"/>
  <c r="M8" i="20"/>
  <c r="M13" i="20"/>
  <c r="M16" i="21"/>
  <c r="M8" i="8"/>
  <c r="M10" i="8"/>
  <c r="M15" i="8"/>
  <c r="K4" i="9"/>
  <c r="M10" i="9"/>
  <c r="M18" i="9"/>
  <c r="M26" i="9"/>
  <c r="K4" i="12"/>
  <c r="M13" i="12"/>
  <c r="K4" i="13"/>
  <c r="M7" i="13"/>
  <c r="G4" i="14"/>
  <c r="J14" i="14"/>
  <c r="J17" i="14"/>
  <c r="J21" i="14"/>
  <c r="M9" i="16"/>
  <c r="E3" i="1"/>
  <c r="F3" i="1" s="1"/>
  <c r="I3" i="1"/>
  <c r="I51" i="6"/>
  <c r="J51" i="6" s="1"/>
  <c r="F34" i="3"/>
  <c r="G34" i="3" s="1"/>
  <c r="F52" i="3"/>
  <c r="G52" i="3" s="1"/>
  <c r="F7" i="3"/>
  <c r="G7" i="3" s="1"/>
  <c r="F11" i="3"/>
  <c r="F29" i="3"/>
  <c r="G29" i="3" s="1"/>
  <c r="F33" i="3"/>
  <c r="G33" i="3" s="1"/>
  <c r="F39" i="3"/>
  <c r="G39" i="3" s="1"/>
  <c r="F3" i="5"/>
  <c r="F3" i="3"/>
  <c r="G3" i="3" s="1"/>
  <c r="F12" i="3"/>
  <c r="G12" i="3" s="1"/>
  <c r="F16" i="3"/>
  <c r="G16" i="3" s="1"/>
  <c r="F20" i="3"/>
  <c r="G20" i="3" s="1"/>
  <c r="F24" i="3"/>
  <c r="G24" i="3" s="1"/>
  <c r="I23" i="6"/>
  <c r="J23" i="6" s="1"/>
  <c r="F49" i="3"/>
  <c r="G49" i="3" s="1"/>
  <c r="F56" i="3"/>
  <c r="G56" i="3" s="1"/>
  <c r="F25" i="20"/>
  <c r="F23" i="17"/>
  <c r="F22" i="12"/>
  <c r="F20" i="8"/>
  <c r="D19" i="20"/>
  <c r="I19" i="20" s="1"/>
  <c r="D17" i="17"/>
  <c r="I17" i="17" s="1"/>
  <c r="D16" i="12"/>
  <c r="I16" i="12" s="1"/>
  <c r="D17" i="8"/>
  <c r="I17" i="8" s="1"/>
  <c r="D22" i="20"/>
  <c r="I22" i="20" s="1"/>
  <c r="D20" i="17"/>
  <c r="I20" i="17" s="1"/>
  <c r="D19" i="12"/>
  <c r="I19" i="12" s="1"/>
  <c r="D18" i="8"/>
  <c r="I18" i="8" s="1"/>
  <c r="D19" i="19"/>
  <c r="I19" i="19" s="1"/>
  <c r="D17" i="21"/>
  <c r="I17" i="21" s="1"/>
  <c r="D15" i="14"/>
  <c r="I15" i="14" s="1"/>
  <c r="D18" i="16"/>
  <c r="I18" i="16" s="1"/>
  <c r="D27" i="20"/>
  <c r="I27" i="20" s="1"/>
  <c r="D25" i="17"/>
  <c r="I25" i="17" s="1"/>
  <c r="D24" i="12"/>
  <c r="I24" i="12" s="1"/>
  <c r="D25" i="9"/>
  <c r="I25" i="9" s="1"/>
  <c r="D23" i="21"/>
  <c r="I23" i="21" s="1"/>
  <c r="D20" i="18"/>
  <c r="I20" i="18" s="1"/>
  <c r="D23" i="14"/>
  <c r="I23" i="14" s="1"/>
  <c r="D21" i="15"/>
  <c r="I21" i="15" s="1"/>
  <c r="F11" i="20"/>
  <c r="F10" i="17"/>
  <c r="F10" i="12"/>
  <c r="F11" i="8"/>
  <c r="G42" i="6"/>
  <c r="F10" i="20"/>
  <c r="F9" i="17"/>
  <c r="F9" i="12"/>
  <c r="F10" i="8"/>
  <c r="G46" i="6"/>
  <c r="D7" i="21"/>
  <c r="I7" i="21" s="1"/>
  <c r="D8" i="15"/>
  <c r="I8" i="15" s="1"/>
  <c r="D9" i="18"/>
  <c r="I9" i="18" s="1"/>
  <c r="D7" i="14"/>
  <c r="I7" i="14" s="1"/>
  <c r="E17" i="6"/>
  <c r="E19" i="6"/>
  <c r="E30" i="6"/>
  <c r="E32" i="6"/>
  <c r="J36" i="6"/>
  <c r="I36" i="6"/>
  <c r="E47" i="6"/>
  <c r="I49" i="6"/>
  <c r="J49" i="6" s="1"/>
  <c r="F51" i="6"/>
  <c r="E54" i="6"/>
  <c r="B55" i="4"/>
  <c r="F6" i="3"/>
  <c r="G6" i="3" s="1"/>
  <c r="F15" i="3"/>
  <c r="G15" i="3" s="1"/>
  <c r="F19" i="3"/>
  <c r="G19" i="3" s="1"/>
  <c r="F23" i="3"/>
  <c r="G23" i="3" s="1"/>
  <c r="F28" i="3"/>
  <c r="G28" i="3" s="1"/>
  <c r="F32" i="3"/>
  <c r="G32" i="3" s="1"/>
  <c r="F35" i="3"/>
  <c r="F37" i="3"/>
  <c r="G37" i="3" s="1"/>
  <c r="F42" i="3"/>
  <c r="G42" i="3" s="1"/>
  <c r="F55" i="3"/>
  <c r="G55" i="3" s="1"/>
  <c r="F61" i="3"/>
  <c r="G61" i="3" s="1"/>
  <c r="D23" i="20"/>
  <c r="I23" i="20" s="1"/>
  <c r="D21" i="17"/>
  <c r="I21" i="17" s="1"/>
  <c r="D20" i="12"/>
  <c r="I20" i="12" s="1"/>
  <c r="D22" i="8"/>
  <c r="I22" i="8" s="1"/>
  <c r="F6" i="20"/>
  <c r="F6" i="17"/>
  <c r="F7" i="12"/>
  <c r="F7" i="8"/>
  <c r="G10" i="6"/>
  <c r="F22" i="20"/>
  <c r="F20" i="17"/>
  <c r="F19" i="12"/>
  <c r="F18" i="8"/>
  <c r="G14" i="6"/>
  <c r="F17" i="21"/>
  <c r="F19" i="19"/>
  <c r="F18" i="16"/>
  <c r="F15" i="14"/>
  <c r="G18" i="6"/>
  <c r="D18" i="21"/>
  <c r="I18" i="21" s="1"/>
  <c r="D16" i="15"/>
  <c r="I16" i="15" s="1"/>
  <c r="D17" i="14"/>
  <c r="I17" i="14" s="1"/>
  <c r="D15" i="18"/>
  <c r="I15" i="18" s="1"/>
  <c r="D12" i="19"/>
  <c r="I12" i="19" s="1"/>
  <c r="D12" i="16"/>
  <c r="I12" i="16" s="1"/>
  <c r="D11" i="13"/>
  <c r="I11" i="13" s="1"/>
  <c r="D18" i="9"/>
  <c r="I18" i="9" s="1"/>
  <c r="F27" i="20"/>
  <c r="F25" i="17"/>
  <c r="F24" i="12"/>
  <c r="F25" i="9"/>
  <c r="G33" i="6"/>
  <c r="F23" i="21"/>
  <c r="F20" i="18"/>
  <c r="F21" i="15"/>
  <c r="F23" i="14"/>
  <c r="G37" i="6"/>
  <c r="D16" i="21"/>
  <c r="I16" i="21" s="1"/>
  <c r="D14" i="18"/>
  <c r="I14" i="18" s="1"/>
  <c r="D15" i="15"/>
  <c r="I15" i="15" s="1"/>
  <c r="D14" i="14"/>
  <c r="I14" i="14" s="1"/>
  <c r="F7" i="21"/>
  <c r="F9" i="18"/>
  <c r="F8" i="15"/>
  <c r="F7" i="14"/>
  <c r="E7" i="6"/>
  <c r="I25" i="6"/>
  <c r="J25" i="6" s="1"/>
  <c r="I38" i="6"/>
  <c r="J38" i="6" s="1"/>
  <c r="A2" i="6"/>
  <c r="E41" i="6"/>
  <c r="E43" i="6"/>
  <c r="F53" i="6"/>
  <c r="B3" i="7"/>
  <c r="B25" i="4"/>
  <c r="B31" i="4"/>
  <c r="B35" i="4"/>
  <c r="F44" i="3"/>
  <c r="G44" i="3" s="1"/>
  <c r="F48" i="3"/>
  <c r="G48" i="3" s="1"/>
  <c r="F57" i="3"/>
  <c r="G57" i="3" s="1"/>
  <c r="D25" i="20"/>
  <c r="I25" i="20" s="1"/>
  <c r="D23" i="17"/>
  <c r="I23" i="17" s="1"/>
  <c r="D20" i="8"/>
  <c r="I20" i="8" s="1"/>
  <c r="D22" i="12"/>
  <c r="I22" i="12" s="1"/>
  <c r="E2" i="5"/>
  <c r="F19" i="20"/>
  <c r="F17" i="17"/>
  <c r="F16" i="12"/>
  <c r="F17" i="8"/>
  <c r="G9" i="6"/>
  <c r="F9" i="6" s="1"/>
  <c r="D18" i="19"/>
  <c r="I18" i="19" s="1"/>
  <c r="D17" i="16"/>
  <c r="I17" i="16" s="1"/>
  <c r="D16" i="13"/>
  <c r="I16" i="13" s="1"/>
  <c r="D19" i="9"/>
  <c r="I19" i="9" s="1"/>
  <c r="F18" i="21"/>
  <c r="F15" i="18"/>
  <c r="F16" i="15"/>
  <c r="F17" i="14"/>
  <c r="G28" i="6"/>
  <c r="F12" i="19"/>
  <c r="F12" i="16"/>
  <c r="F11" i="13"/>
  <c r="F18" i="9"/>
  <c r="G32" i="6"/>
  <c r="D27" i="19"/>
  <c r="I27" i="19" s="1"/>
  <c r="D25" i="16"/>
  <c r="I25" i="16" s="1"/>
  <c r="D23" i="13"/>
  <c r="I23" i="13" s="1"/>
  <c r="D26" i="9"/>
  <c r="I26" i="9" s="1"/>
  <c r="F16" i="21"/>
  <c r="F15" i="15"/>
  <c r="F14" i="18"/>
  <c r="F14" i="14"/>
  <c r="G56" i="6"/>
  <c r="D24" i="19"/>
  <c r="I24" i="19" s="1"/>
  <c r="D22" i="16"/>
  <c r="I22" i="16" s="1"/>
  <c r="D20" i="13"/>
  <c r="I20" i="13" s="1"/>
  <c r="D24" i="9"/>
  <c r="I24" i="9" s="1"/>
  <c r="G4" i="6"/>
  <c r="F4" i="6" s="1"/>
  <c r="F6" i="6"/>
  <c r="E9" i="6"/>
  <c r="E11" i="6"/>
  <c r="F21" i="6"/>
  <c r="F34" i="6"/>
  <c r="I53" i="6"/>
  <c r="J53" i="6" s="1"/>
  <c r="G57" i="6"/>
  <c r="F64" i="6"/>
  <c r="E64" i="6"/>
  <c r="B5" i="4"/>
  <c r="C6" i="4"/>
  <c r="B8" i="4"/>
  <c r="B9" i="4"/>
  <c r="B16" i="4"/>
  <c r="B17" i="4"/>
  <c r="B43" i="4"/>
  <c r="B63" i="4"/>
  <c r="F40" i="3"/>
  <c r="G40" i="3" s="1"/>
  <c r="F53" i="3"/>
  <c r="G53" i="3" s="1"/>
  <c r="F60" i="3"/>
  <c r="G60" i="3" s="1"/>
  <c r="I2" i="5"/>
  <c r="F23" i="20"/>
  <c r="F21" i="17"/>
  <c r="F20" i="12"/>
  <c r="F22" i="8"/>
  <c r="G5" i="6"/>
  <c r="D6" i="20"/>
  <c r="I6" i="20" s="1"/>
  <c r="D6" i="17"/>
  <c r="I6" i="17" s="1"/>
  <c r="D7" i="12"/>
  <c r="I7" i="12" s="1"/>
  <c r="D7" i="8"/>
  <c r="I7" i="8" s="1"/>
  <c r="I20" i="6"/>
  <c r="J20" i="6" s="1"/>
  <c r="F20" i="6"/>
  <c r="F18" i="19"/>
  <c r="F17" i="16"/>
  <c r="F16" i="13"/>
  <c r="F19" i="9"/>
  <c r="I24" i="6"/>
  <c r="J24" i="6" s="1"/>
  <c r="F24" i="6"/>
  <c r="D11" i="20"/>
  <c r="I11" i="20" s="1"/>
  <c r="D10" i="17"/>
  <c r="I10" i="17" s="1"/>
  <c r="D10" i="12"/>
  <c r="I10" i="12" s="1"/>
  <c r="D11" i="8"/>
  <c r="I11" i="8" s="1"/>
  <c r="D10" i="20"/>
  <c r="I10" i="20" s="1"/>
  <c r="D9" i="17"/>
  <c r="I9" i="17" s="1"/>
  <c r="D9" i="12"/>
  <c r="I9" i="12" s="1"/>
  <c r="D10" i="8"/>
  <c r="I10" i="8" s="1"/>
  <c r="F27" i="19"/>
  <c r="F25" i="16"/>
  <c r="F23" i="13"/>
  <c r="F26" i="9"/>
  <c r="I52" i="6"/>
  <c r="J52" i="6" s="1"/>
  <c r="F52" i="6"/>
  <c r="I59" i="6"/>
  <c r="J59" i="6" s="1"/>
  <c r="F59" i="6"/>
  <c r="F24" i="19"/>
  <c r="F22" i="16"/>
  <c r="F20" i="13"/>
  <c r="G62" i="6"/>
  <c r="F24" i="9"/>
  <c r="I63" i="6"/>
  <c r="J63" i="6" s="1"/>
  <c r="F63" i="6"/>
  <c r="I6" i="6"/>
  <c r="J6" i="6" s="1"/>
  <c r="E13" i="6"/>
  <c r="E15" i="6"/>
  <c r="I21" i="6"/>
  <c r="J21" i="6" s="1"/>
  <c r="F23" i="6"/>
  <c r="E26" i="6"/>
  <c r="F28" i="6"/>
  <c r="E28" i="6"/>
  <c r="I34" i="6"/>
  <c r="J34" i="6" s="1"/>
  <c r="F36" i="6"/>
  <c r="E45" i="6"/>
  <c r="F49" i="6"/>
  <c r="B47" i="4"/>
  <c r="B51" i="4"/>
  <c r="D7" i="20"/>
  <c r="I7" i="20" s="1"/>
  <c r="D8" i="18"/>
  <c r="I8" i="18" s="1"/>
  <c r="D7" i="15"/>
  <c r="I7" i="15" s="1"/>
  <c r="D8" i="8"/>
  <c r="I8" i="8" s="1"/>
  <c r="F28" i="20"/>
  <c r="F7" i="20"/>
  <c r="F26" i="17"/>
  <c r="F7" i="15"/>
  <c r="F8" i="18"/>
  <c r="D15" i="20"/>
  <c r="I15" i="20" s="1"/>
  <c r="D15" i="17"/>
  <c r="I15" i="17" s="1"/>
  <c r="D16" i="8"/>
  <c r="I16" i="8" s="1"/>
  <c r="D14" i="12"/>
  <c r="I14" i="12" s="1"/>
  <c r="F15" i="20"/>
  <c r="F15" i="17"/>
  <c r="F14" i="12"/>
  <c r="D6" i="19"/>
  <c r="I6" i="19" s="1"/>
  <c r="D6" i="16"/>
  <c r="I6" i="16" s="1"/>
  <c r="D6" i="13"/>
  <c r="I6" i="13" s="1"/>
  <c r="F6" i="19"/>
  <c r="F6" i="16"/>
  <c r="F6" i="13"/>
  <c r="F5" i="9"/>
  <c r="D10" i="18"/>
  <c r="I10" i="18" s="1"/>
  <c r="D9" i="16"/>
  <c r="I9" i="16" s="1"/>
  <c r="D7" i="13"/>
  <c r="I7" i="13" s="1"/>
  <c r="D8" i="9"/>
  <c r="I8" i="9" s="1"/>
  <c r="F9" i="16"/>
  <c r="F10" i="18"/>
  <c r="F7" i="13"/>
  <c r="D25" i="21"/>
  <c r="I25" i="21" s="1"/>
  <c r="D22" i="18"/>
  <c r="I22" i="18" s="1"/>
  <c r="D25" i="14"/>
  <c r="I25" i="14" s="1"/>
  <c r="D23" i="15"/>
  <c r="I23" i="15" s="1"/>
  <c r="F25" i="21"/>
  <c r="F23" i="15"/>
  <c r="F22" i="18"/>
  <c r="F25" i="14"/>
  <c r="D22" i="19"/>
  <c r="I22" i="19" s="1"/>
  <c r="D20" i="16"/>
  <c r="I20" i="16" s="1"/>
  <c r="D18" i="13"/>
  <c r="I18" i="13" s="1"/>
  <c r="D21" i="9"/>
  <c r="I21" i="9" s="1"/>
  <c r="F22" i="19"/>
  <c r="F20" i="16"/>
  <c r="F18" i="13"/>
  <c r="F21" i="9"/>
  <c r="D17" i="20"/>
  <c r="I17" i="20" s="1"/>
  <c r="D6" i="18"/>
  <c r="I6" i="18" s="1"/>
  <c r="D18" i="14"/>
  <c r="I18" i="14" s="1"/>
  <c r="D15" i="12"/>
  <c r="I15" i="12" s="1"/>
  <c r="F17" i="20"/>
  <c r="F18" i="14"/>
  <c r="F6" i="18"/>
  <c r="F15" i="12"/>
  <c r="D11" i="19"/>
  <c r="I11" i="19" s="1"/>
  <c r="D11" i="15"/>
  <c r="I11" i="15" s="1"/>
  <c r="D10" i="14"/>
  <c r="I10" i="14" s="1"/>
  <c r="D11" i="9"/>
  <c r="I11" i="9" s="1"/>
  <c r="F11" i="19"/>
  <c r="F11" i="15"/>
  <c r="F11" i="9"/>
  <c r="F10" i="14"/>
  <c r="D26" i="20"/>
  <c r="I26" i="20" s="1"/>
  <c r="D24" i="17"/>
  <c r="I24" i="17" s="1"/>
  <c r="D21" i="12"/>
  <c r="I21" i="12" s="1"/>
  <c r="F26" i="20"/>
  <c r="F24" i="17"/>
  <c r="F23" i="8"/>
  <c r="F21" i="12"/>
  <c r="D16" i="19"/>
  <c r="I16" i="19" s="1"/>
  <c r="D15" i="21"/>
  <c r="I15" i="21" s="1"/>
  <c r="D15" i="16"/>
  <c r="I15" i="16" s="1"/>
  <c r="D12" i="13"/>
  <c r="I12" i="13" s="1"/>
  <c r="F15" i="21"/>
  <c r="F16" i="19"/>
  <c r="F15" i="16"/>
  <c r="F12" i="13"/>
  <c r="D13" i="21"/>
  <c r="I13" i="21" s="1"/>
  <c r="D13" i="15"/>
  <c r="I13" i="15" s="1"/>
  <c r="D13" i="18"/>
  <c r="I13" i="18" s="1"/>
  <c r="D12" i="14"/>
  <c r="I12" i="14" s="1"/>
  <c r="F13" i="21"/>
  <c r="F13" i="18"/>
  <c r="F13" i="15"/>
  <c r="F12" i="14"/>
  <c r="G27" i="6"/>
  <c r="G31" i="6"/>
  <c r="G55" i="6"/>
  <c r="C5" i="4"/>
  <c r="C13" i="4"/>
  <c r="C21" i="4"/>
  <c r="E4" i="8"/>
  <c r="L4" i="8"/>
  <c r="M6" i="8"/>
  <c r="M14" i="8"/>
  <c r="M20" i="8"/>
  <c r="D23" i="8"/>
  <c r="I23" i="8" s="1"/>
  <c r="F8" i="9"/>
  <c r="B32" i="4"/>
  <c r="B40" i="4"/>
  <c r="B48" i="4"/>
  <c r="B56" i="4"/>
  <c r="D5" i="20"/>
  <c r="D5" i="17"/>
  <c r="D5" i="12"/>
  <c r="D6" i="8"/>
  <c r="I6" i="8" s="1"/>
  <c r="F5" i="20"/>
  <c r="F5" i="17"/>
  <c r="F5" i="12"/>
  <c r="D28" i="20"/>
  <c r="I28" i="20" s="1"/>
  <c r="D26" i="17"/>
  <c r="I26" i="17" s="1"/>
  <c r="D25" i="12"/>
  <c r="I25" i="12" s="1"/>
  <c r="D27" i="9"/>
  <c r="I27" i="9" s="1"/>
  <c r="F25" i="12"/>
  <c r="F27" i="9"/>
  <c r="D12" i="20"/>
  <c r="I12" i="20" s="1"/>
  <c r="D10" i="15"/>
  <c r="I10" i="15" s="1"/>
  <c r="D11" i="17"/>
  <c r="I11" i="17" s="1"/>
  <c r="D12" i="8"/>
  <c r="I12" i="8" s="1"/>
  <c r="F12" i="20"/>
  <c r="F11" i="17"/>
  <c r="F10" i="15"/>
  <c r="D22" i="21"/>
  <c r="I22" i="21" s="1"/>
  <c r="D20" i="15"/>
  <c r="I20" i="15" s="1"/>
  <c r="D21" i="14"/>
  <c r="I21" i="14" s="1"/>
  <c r="D19" i="18"/>
  <c r="I19" i="18" s="1"/>
  <c r="F22" i="21"/>
  <c r="F19" i="18"/>
  <c r="F20" i="15"/>
  <c r="F21" i="14"/>
  <c r="D8" i="21"/>
  <c r="I8" i="21" s="1"/>
  <c r="D8" i="19"/>
  <c r="I8" i="19" s="1"/>
  <c r="D8" i="16"/>
  <c r="I8" i="16" s="1"/>
  <c r="D8" i="13"/>
  <c r="I8" i="13" s="1"/>
  <c r="F8" i="21"/>
  <c r="F8" i="19"/>
  <c r="F8" i="16"/>
  <c r="F8" i="13"/>
  <c r="D9" i="19"/>
  <c r="I9" i="19" s="1"/>
  <c r="D10" i="16"/>
  <c r="I10" i="16" s="1"/>
  <c r="D9" i="13"/>
  <c r="I9" i="13" s="1"/>
  <c r="D10" i="9"/>
  <c r="I10" i="9" s="1"/>
  <c r="F10" i="16"/>
  <c r="F9" i="19"/>
  <c r="F9" i="13"/>
  <c r="F10" i="9"/>
  <c r="D14" i="20"/>
  <c r="I14" i="20" s="1"/>
  <c r="D14" i="17"/>
  <c r="I14" i="17" s="1"/>
  <c r="D12" i="12"/>
  <c r="I12" i="12" s="1"/>
  <c r="D14" i="8"/>
  <c r="I14" i="8" s="1"/>
  <c r="F14" i="20"/>
  <c r="F14" i="17"/>
  <c r="F12" i="12"/>
  <c r="D21" i="20"/>
  <c r="I21" i="20" s="1"/>
  <c r="D19" i="17"/>
  <c r="I19" i="17" s="1"/>
  <c r="D17" i="12"/>
  <c r="I17" i="12" s="1"/>
  <c r="F21" i="20"/>
  <c r="F19" i="17"/>
  <c r="F17" i="12"/>
  <c r="F19" i="8"/>
  <c r="D23" i="19"/>
  <c r="I23" i="19" s="1"/>
  <c r="D21" i="16"/>
  <c r="I21" i="16" s="1"/>
  <c r="D19" i="13"/>
  <c r="I19" i="13" s="1"/>
  <c r="D22" i="9"/>
  <c r="I22" i="9" s="1"/>
  <c r="F23" i="19"/>
  <c r="F21" i="16"/>
  <c r="F19" i="13"/>
  <c r="F22" i="9"/>
  <c r="D24" i="21"/>
  <c r="I24" i="21" s="1"/>
  <c r="D22" i="15"/>
  <c r="I22" i="15" s="1"/>
  <c r="D24" i="14"/>
  <c r="I24" i="14" s="1"/>
  <c r="D21" i="18"/>
  <c r="I21" i="18" s="1"/>
  <c r="F24" i="21"/>
  <c r="F21" i="18"/>
  <c r="F24" i="14"/>
  <c r="F22" i="15"/>
  <c r="D6" i="21"/>
  <c r="I6" i="21" s="1"/>
  <c r="D20" i="19"/>
  <c r="I20" i="19" s="1"/>
  <c r="D18" i="20"/>
  <c r="I18" i="20" s="1"/>
  <c r="D7" i="18"/>
  <c r="I7" i="18" s="1"/>
  <c r="D16" i="17"/>
  <c r="I16" i="17" s="1"/>
  <c r="D19" i="16"/>
  <c r="I19" i="16" s="1"/>
  <c r="D6" i="15"/>
  <c r="I6" i="15" s="1"/>
  <c r="D6" i="14"/>
  <c r="I6" i="14" s="1"/>
  <c r="D6" i="9"/>
  <c r="I6" i="9" s="1"/>
  <c r="D8" i="12"/>
  <c r="I8" i="12" s="1"/>
  <c r="F18" i="20"/>
  <c r="F20" i="19"/>
  <c r="F6" i="21"/>
  <c r="F7" i="18"/>
  <c r="F16" i="17"/>
  <c r="F19" i="16"/>
  <c r="F6" i="15"/>
  <c r="F8" i="12"/>
  <c r="F6" i="14"/>
  <c r="D13" i="20"/>
  <c r="I13" i="20" s="1"/>
  <c r="D11" i="21"/>
  <c r="I11" i="21" s="1"/>
  <c r="D25" i="19"/>
  <c r="I25" i="19" s="1"/>
  <c r="D12" i="18"/>
  <c r="I12" i="18" s="1"/>
  <c r="D12" i="17"/>
  <c r="I12" i="17" s="1"/>
  <c r="D23" i="16"/>
  <c r="I23" i="16" s="1"/>
  <c r="D12" i="15"/>
  <c r="I12" i="15" s="1"/>
  <c r="D11" i="12"/>
  <c r="I11" i="12" s="1"/>
  <c r="D22" i="13"/>
  <c r="I22" i="13" s="1"/>
  <c r="D11" i="14"/>
  <c r="I11" i="14" s="1"/>
  <c r="D13" i="9"/>
  <c r="I13" i="9" s="1"/>
  <c r="F11" i="21"/>
  <c r="F25" i="19"/>
  <c r="F13" i="20"/>
  <c r="F12" i="18"/>
  <c r="F12" i="17"/>
  <c r="F23" i="16"/>
  <c r="F12" i="15"/>
  <c r="F11" i="14"/>
  <c r="F22" i="13"/>
  <c r="F13" i="9"/>
  <c r="F13" i="8"/>
  <c r="F11" i="12"/>
  <c r="D5" i="19"/>
  <c r="D5" i="16"/>
  <c r="D5" i="13"/>
  <c r="F5" i="19"/>
  <c r="F5" i="16"/>
  <c r="F5" i="8"/>
  <c r="F5" i="13"/>
  <c r="D24" i="20"/>
  <c r="I24" i="20" s="1"/>
  <c r="D22" i="17"/>
  <c r="I22" i="17" s="1"/>
  <c r="D18" i="12"/>
  <c r="I18" i="12" s="1"/>
  <c r="F24" i="20"/>
  <c r="F22" i="17"/>
  <c r="F18" i="12"/>
  <c r="F21" i="8"/>
  <c r="D10" i="19"/>
  <c r="I10" i="19" s="1"/>
  <c r="D11" i="16"/>
  <c r="I11" i="16" s="1"/>
  <c r="D12" i="9"/>
  <c r="I12" i="9" s="1"/>
  <c r="D10" i="13"/>
  <c r="I10" i="13" s="1"/>
  <c r="F10" i="19"/>
  <c r="F11" i="16"/>
  <c r="F10" i="13"/>
  <c r="F12" i="9"/>
  <c r="D20" i="20"/>
  <c r="I20" i="20" s="1"/>
  <c r="D21" i="19"/>
  <c r="I21" i="19" s="1"/>
  <c r="D18" i="17"/>
  <c r="I18" i="17" s="1"/>
  <c r="D17" i="13"/>
  <c r="I17" i="13" s="1"/>
  <c r="D20" i="9"/>
  <c r="I20" i="9" s="1"/>
  <c r="F20" i="20"/>
  <c r="F21" i="19"/>
  <c r="F18" i="17"/>
  <c r="F17" i="13"/>
  <c r="F20" i="9"/>
  <c r="D14" i="19"/>
  <c r="I14" i="19" s="1"/>
  <c r="D14" i="16"/>
  <c r="I14" i="16" s="1"/>
  <c r="D13" i="13"/>
  <c r="I13" i="13" s="1"/>
  <c r="D16" i="9"/>
  <c r="I16" i="9" s="1"/>
  <c r="F14" i="19"/>
  <c r="F14" i="16"/>
  <c r="G60" i="6"/>
  <c r="F60" i="6" s="1"/>
  <c r="F13" i="13"/>
  <c r="F16" i="9"/>
  <c r="G3" i="6"/>
  <c r="E4" i="6"/>
  <c r="E6" i="6"/>
  <c r="I8" i="6"/>
  <c r="J8" i="6" s="1"/>
  <c r="I12" i="6"/>
  <c r="J12" i="6" s="1"/>
  <c r="I16" i="6"/>
  <c r="J16" i="6" s="1"/>
  <c r="E21" i="6"/>
  <c r="G22" i="6"/>
  <c r="E23" i="6"/>
  <c r="E25" i="6"/>
  <c r="I29" i="6"/>
  <c r="J29" i="6" s="1"/>
  <c r="E34" i="6"/>
  <c r="G35" i="6"/>
  <c r="E36" i="6"/>
  <c r="E38" i="6"/>
  <c r="G39" i="6"/>
  <c r="I40" i="6"/>
  <c r="J40" i="6" s="1"/>
  <c r="I44" i="6"/>
  <c r="J44" i="6" s="1"/>
  <c r="I48" i="6"/>
  <c r="J48" i="6" s="1"/>
  <c r="E49" i="6"/>
  <c r="G50" i="6"/>
  <c r="E51" i="6"/>
  <c r="E53" i="6"/>
  <c r="G61" i="6"/>
  <c r="I64" i="6"/>
  <c r="J64" i="6" s="1"/>
  <c r="C7" i="4"/>
  <c r="C15" i="4"/>
  <c r="C31" i="4"/>
  <c r="C39" i="4"/>
  <c r="C47" i="4"/>
  <c r="C55" i="4"/>
  <c r="C63" i="4"/>
  <c r="J11" i="8"/>
  <c r="F12" i="8"/>
  <c r="M12" i="8"/>
  <c r="J19" i="8"/>
  <c r="D5" i="9"/>
  <c r="M6" i="9"/>
  <c r="B24" i="4"/>
  <c r="D16" i="20"/>
  <c r="I16" i="20" s="1"/>
  <c r="D16" i="14"/>
  <c r="I16" i="14" s="1"/>
  <c r="F16" i="20"/>
  <c r="F16" i="14"/>
  <c r="D8" i="20"/>
  <c r="I8" i="20" s="1"/>
  <c r="D7" i="17"/>
  <c r="I7" i="17" s="1"/>
  <c r="D6" i="12"/>
  <c r="I6" i="12" s="1"/>
  <c r="F8" i="20"/>
  <c r="F7" i="17"/>
  <c r="F6" i="12"/>
  <c r="F9" i="9"/>
  <c r="D9" i="21"/>
  <c r="I9" i="21" s="1"/>
  <c r="D8" i="14"/>
  <c r="I8" i="14" s="1"/>
  <c r="F9" i="21"/>
  <c r="F8" i="14"/>
  <c r="D21" i="21"/>
  <c r="I21" i="21" s="1"/>
  <c r="D18" i="18"/>
  <c r="I18" i="18" s="1"/>
  <c r="D19" i="14"/>
  <c r="I19" i="14" s="1"/>
  <c r="D19" i="15"/>
  <c r="I19" i="15" s="1"/>
  <c r="F21" i="21"/>
  <c r="F19" i="15"/>
  <c r="F18" i="18"/>
  <c r="F19" i="14"/>
  <c r="D19" i="21"/>
  <c r="I19" i="21" s="1"/>
  <c r="D16" i="18"/>
  <c r="I16" i="18" s="1"/>
  <c r="D17" i="15"/>
  <c r="I17" i="15" s="1"/>
  <c r="D20" i="14"/>
  <c r="I20" i="14" s="1"/>
  <c r="F19" i="21"/>
  <c r="F16" i="18"/>
  <c r="F17" i="15"/>
  <c r="F20" i="14"/>
  <c r="D9" i="20"/>
  <c r="I9" i="20" s="1"/>
  <c r="D8" i="17"/>
  <c r="I8" i="17" s="1"/>
  <c r="D23" i="12"/>
  <c r="I23" i="12" s="1"/>
  <c r="F9" i="20"/>
  <c r="F8" i="17"/>
  <c r="F23" i="12"/>
  <c r="F9" i="8"/>
  <c r="D13" i="19"/>
  <c r="I13" i="19" s="1"/>
  <c r="D13" i="16"/>
  <c r="I13" i="16" s="1"/>
  <c r="D14" i="13"/>
  <c r="I14" i="13" s="1"/>
  <c r="D14" i="9"/>
  <c r="I14" i="9" s="1"/>
  <c r="F13" i="19"/>
  <c r="F13" i="16"/>
  <c r="F14" i="13"/>
  <c r="F14" i="9"/>
  <c r="D7" i="19"/>
  <c r="I7" i="19" s="1"/>
  <c r="D7" i="16"/>
  <c r="I7" i="16" s="1"/>
  <c r="F7" i="16"/>
  <c r="F7" i="19"/>
  <c r="F7" i="9"/>
  <c r="D26" i="19"/>
  <c r="I26" i="19" s="1"/>
  <c r="D24" i="16"/>
  <c r="I24" i="16" s="1"/>
  <c r="D21" i="13"/>
  <c r="I21" i="13" s="1"/>
  <c r="D23" i="9"/>
  <c r="I23" i="9" s="1"/>
  <c r="F26" i="19"/>
  <c r="F24" i="16"/>
  <c r="F23" i="9"/>
  <c r="F21" i="13"/>
  <c r="D26" i="21"/>
  <c r="I26" i="21" s="1"/>
  <c r="D24" i="15"/>
  <c r="I24" i="15" s="1"/>
  <c r="D26" i="14"/>
  <c r="I26" i="14" s="1"/>
  <c r="F26" i="21"/>
  <c r="F26" i="14"/>
  <c r="F24" i="15"/>
  <c r="D12" i="21"/>
  <c r="I12" i="21" s="1"/>
  <c r="D13" i="17"/>
  <c r="I13" i="17" s="1"/>
  <c r="D13" i="12"/>
  <c r="I13" i="12" s="1"/>
  <c r="F12" i="21"/>
  <c r="F13" i="17"/>
  <c r="F15" i="8"/>
  <c r="F13" i="12"/>
  <c r="D5" i="21"/>
  <c r="D5" i="15"/>
  <c r="D5" i="18"/>
  <c r="D5" i="14"/>
  <c r="F5" i="21"/>
  <c r="F5" i="18"/>
  <c r="F5" i="15"/>
  <c r="F5" i="14"/>
  <c r="D28" i="19"/>
  <c r="I28" i="19" s="1"/>
  <c r="D26" i="16"/>
  <c r="I26" i="16" s="1"/>
  <c r="D28" i="9"/>
  <c r="I28" i="9" s="1"/>
  <c r="D24" i="13"/>
  <c r="I24" i="13" s="1"/>
  <c r="F28" i="19"/>
  <c r="F26" i="16"/>
  <c r="F24" i="13"/>
  <c r="F28" i="9"/>
  <c r="D10" i="21"/>
  <c r="I10" i="21" s="1"/>
  <c r="D11" i="18"/>
  <c r="I11" i="18" s="1"/>
  <c r="D9" i="15"/>
  <c r="I9" i="15" s="1"/>
  <c r="D9" i="14"/>
  <c r="I9" i="14" s="1"/>
  <c r="F10" i="21"/>
  <c r="F11" i="18"/>
  <c r="F9" i="15"/>
  <c r="F9" i="14"/>
  <c r="G58" i="6"/>
  <c r="D17" i="19"/>
  <c r="I17" i="19" s="1"/>
  <c r="D16" i="16"/>
  <c r="I16" i="16" s="1"/>
  <c r="D15" i="13"/>
  <c r="I15" i="13" s="1"/>
  <c r="D15" i="9"/>
  <c r="I15" i="9" s="1"/>
  <c r="F17" i="19"/>
  <c r="F16" i="16"/>
  <c r="F15" i="9"/>
  <c r="F15" i="13"/>
  <c r="D14" i="21"/>
  <c r="I14" i="21" s="1"/>
  <c r="D14" i="15"/>
  <c r="I14" i="15" s="1"/>
  <c r="D15" i="19"/>
  <c r="I15" i="19" s="1"/>
  <c r="D13" i="14"/>
  <c r="I13" i="14" s="1"/>
  <c r="D17" i="9"/>
  <c r="I17" i="9" s="1"/>
  <c r="F15" i="19"/>
  <c r="F14" i="21"/>
  <c r="F14" i="15"/>
  <c r="F13" i="14"/>
  <c r="F17" i="9"/>
  <c r="D20" i="21"/>
  <c r="I20" i="21" s="1"/>
  <c r="D18" i="15"/>
  <c r="I18" i="15" s="1"/>
  <c r="D22" i="14"/>
  <c r="I22" i="14" s="1"/>
  <c r="D17" i="18"/>
  <c r="I17" i="18" s="1"/>
  <c r="F20" i="21"/>
  <c r="F17" i="18"/>
  <c r="F22" i="14"/>
  <c r="F18" i="15"/>
  <c r="G7" i="6"/>
  <c r="G11" i="6"/>
  <c r="G13" i="6"/>
  <c r="G15" i="6"/>
  <c r="F15" i="6" s="1"/>
  <c r="G17" i="6"/>
  <c r="F17" i="6" s="1"/>
  <c r="G19" i="6"/>
  <c r="G26" i="6"/>
  <c r="G30" i="6"/>
  <c r="F30" i="6" s="1"/>
  <c r="G41" i="6"/>
  <c r="G43" i="6"/>
  <c r="G45" i="6"/>
  <c r="G47" i="6"/>
  <c r="F47" i="6" s="1"/>
  <c r="G54" i="6"/>
  <c r="F54" i="6" s="1"/>
  <c r="F62" i="6"/>
  <c r="C9" i="4"/>
  <c r="C25" i="4"/>
  <c r="C33" i="4"/>
  <c r="C41" i="4"/>
  <c r="C49" i="4"/>
  <c r="C57" i="4"/>
  <c r="C4" i="8"/>
  <c r="J9" i="8"/>
  <c r="D15" i="8"/>
  <c r="I15" i="8" s="1"/>
  <c r="J17" i="8"/>
  <c r="D21" i="8"/>
  <c r="I21" i="8" s="1"/>
  <c r="F6" i="9"/>
  <c r="F8" i="8"/>
  <c r="F16" i="8"/>
  <c r="F48" i="11"/>
  <c r="C11" i="4" s="1"/>
  <c r="F69" i="11"/>
  <c r="C32" i="4" s="1"/>
  <c r="F77" i="11"/>
  <c r="F85" i="11"/>
  <c r="C48" i="4" s="1"/>
  <c r="F93" i="11"/>
  <c r="C56" i="4" s="1"/>
  <c r="J11" i="12"/>
  <c r="M11" i="12"/>
  <c r="J19" i="12"/>
  <c r="M19" i="12"/>
  <c r="J5" i="13"/>
  <c r="J4" i="13" s="1"/>
  <c r="M5" i="13"/>
  <c r="L4" i="13"/>
  <c r="J13" i="13"/>
  <c r="M13" i="13"/>
  <c r="J21" i="13"/>
  <c r="M21" i="13"/>
  <c r="L4" i="14"/>
  <c r="K4" i="14"/>
  <c r="J8" i="14"/>
  <c r="M8" i="14"/>
  <c r="F41" i="11"/>
  <c r="C4" i="4" s="1"/>
  <c r="F53" i="11"/>
  <c r="C16" i="4" s="1"/>
  <c r="F54" i="11"/>
  <c r="F60" i="11"/>
  <c r="F61" i="11"/>
  <c r="C24" i="4" s="1"/>
  <c r="E4" i="12"/>
  <c r="G4" i="12"/>
  <c r="J9" i="12"/>
  <c r="M9" i="12"/>
  <c r="J17" i="12"/>
  <c r="M17" i="12"/>
  <c r="J25" i="12"/>
  <c r="M25" i="12"/>
  <c r="J11" i="13"/>
  <c r="M11" i="13"/>
  <c r="J19" i="13"/>
  <c r="M19" i="13"/>
  <c r="E4" i="14"/>
  <c r="J6" i="14"/>
  <c r="M6" i="14"/>
  <c r="M5" i="15"/>
  <c r="L4" i="15"/>
  <c r="H35" i="11"/>
  <c r="P35" i="11"/>
  <c r="AF35" i="11"/>
  <c r="AV35" i="11"/>
  <c r="F65" i="11"/>
  <c r="C28" i="4" s="1"/>
  <c r="F66" i="11"/>
  <c r="F73" i="11"/>
  <c r="C36" i="4" s="1"/>
  <c r="F74" i="11"/>
  <c r="F81" i="11"/>
  <c r="F82" i="11"/>
  <c r="F89" i="11"/>
  <c r="C52" i="4" s="1"/>
  <c r="F90" i="11"/>
  <c r="F97" i="11"/>
  <c r="F98" i="11"/>
  <c r="C4" i="12"/>
  <c r="J7" i="12"/>
  <c r="M7" i="12"/>
  <c r="J15" i="12"/>
  <c r="M15" i="12"/>
  <c r="J23" i="12"/>
  <c r="M23" i="12"/>
  <c r="E4" i="13"/>
  <c r="G4" i="13"/>
  <c r="J9" i="13"/>
  <c r="M9" i="13"/>
  <c r="J17" i="13"/>
  <c r="M17" i="13"/>
  <c r="J12" i="14"/>
  <c r="M12" i="14"/>
  <c r="M5" i="12"/>
  <c r="L4" i="12"/>
  <c r="J26" i="14"/>
  <c r="J5" i="15"/>
  <c r="J4" i="15" s="1"/>
  <c r="J24" i="14"/>
  <c r="J5" i="16"/>
  <c r="J4" i="16" s="1"/>
  <c r="L4" i="17"/>
  <c r="J21" i="17"/>
  <c r="M21" i="17"/>
  <c r="E4" i="18"/>
  <c r="K4" i="18"/>
  <c r="J6" i="18"/>
  <c r="M6" i="18"/>
  <c r="M5" i="19"/>
  <c r="M9" i="19"/>
  <c r="J19" i="17"/>
  <c r="M19" i="17"/>
  <c r="J12" i="18"/>
  <c r="M12" i="18"/>
  <c r="M16" i="18"/>
  <c r="M20" i="18"/>
  <c r="J19" i="19"/>
  <c r="E4" i="19"/>
  <c r="L4" i="16"/>
  <c r="J25" i="17"/>
  <c r="M25" i="17"/>
  <c r="J10" i="18"/>
  <c r="M10" i="18"/>
  <c r="M7" i="19"/>
  <c r="J5" i="20"/>
  <c r="M5" i="20"/>
  <c r="L4" i="20"/>
  <c r="J9" i="20"/>
  <c r="L4" i="19"/>
  <c r="M10" i="19"/>
  <c r="M12" i="19"/>
  <c r="M14" i="19"/>
  <c r="M16" i="19"/>
  <c r="M18" i="19"/>
  <c r="G4" i="20"/>
  <c r="E4" i="20"/>
  <c r="J11" i="20"/>
  <c r="M11" i="20"/>
  <c r="J19" i="20"/>
  <c r="M19" i="20"/>
  <c r="J27" i="20"/>
  <c r="M27" i="20"/>
  <c r="J10" i="21"/>
  <c r="M10" i="21"/>
  <c r="J18" i="21"/>
  <c r="M18" i="21"/>
  <c r="J26" i="21"/>
  <c r="M26" i="21"/>
  <c r="J15" i="20"/>
  <c r="M15" i="20"/>
  <c r="J23" i="20"/>
  <c r="M23" i="20"/>
  <c r="E4" i="21"/>
  <c r="J6" i="21"/>
  <c r="M6" i="21"/>
  <c r="J14" i="21"/>
  <c r="M14" i="21"/>
  <c r="J22" i="21"/>
  <c r="M22" i="21"/>
  <c r="J4" i="19" l="1"/>
  <c r="B45" i="4"/>
  <c r="C60" i="4"/>
  <c r="C44" i="4"/>
  <c r="C54" i="4"/>
  <c r="C38" i="4"/>
  <c r="C58" i="4"/>
  <c r="C20" i="4"/>
  <c r="C42" i="4"/>
  <c r="C40" i="4"/>
  <c r="C50" i="4"/>
  <c r="B64" i="4"/>
  <c r="C46" i="4"/>
  <c r="C26" i="4"/>
  <c r="M4" i="9"/>
  <c r="D51" i="1"/>
  <c r="D39" i="1"/>
  <c r="B1" i="22"/>
  <c r="M4" i="18"/>
  <c r="D123" i="1"/>
  <c r="D15" i="1"/>
  <c r="D99" i="1"/>
  <c r="D75" i="1"/>
  <c r="D135" i="1"/>
  <c r="D111" i="1"/>
  <c r="D63" i="1"/>
  <c r="D27" i="1"/>
  <c r="M4" i="21"/>
  <c r="L2" i="21"/>
  <c r="J4" i="21"/>
  <c r="J4" i="17"/>
  <c r="J4" i="18"/>
  <c r="B1" i="11"/>
  <c r="J4" i="8"/>
  <c r="J4" i="14"/>
  <c r="D91" i="1"/>
  <c r="D67" i="1"/>
  <c r="D43" i="1"/>
  <c r="D103" i="1"/>
  <c r="D55" i="1"/>
  <c r="D79" i="1"/>
  <c r="D31" i="1"/>
  <c r="D115" i="1"/>
  <c r="D19" i="1"/>
  <c r="D127" i="1"/>
  <c r="M4" i="19"/>
  <c r="L2" i="19"/>
  <c r="J4" i="20"/>
  <c r="M4" i="12"/>
  <c r="L2" i="12"/>
  <c r="J4" i="12"/>
  <c r="M4" i="15"/>
  <c r="L2" i="15"/>
  <c r="M4" i="13"/>
  <c r="L2" i="13"/>
  <c r="I45" i="6"/>
  <c r="J45" i="6" s="1"/>
  <c r="I26" i="6"/>
  <c r="J26" i="6" s="1"/>
  <c r="I13" i="6"/>
  <c r="J13" i="6" s="1"/>
  <c r="D4" i="14"/>
  <c r="I5" i="14"/>
  <c r="C23" i="4"/>
  <c r="I61" i="6"/>
  <c r="J61" i="6" s="1"/>
  <c r="F61" i="6"/>
  <c r="I39" i="6"/>
  <c r="J39" i="6" s="1"/>
  <c r="F39" i="6"/>
  <c r="I22" i="6"/>
  <c r="J22" i="6" s="1"/>
  <c r="F22" i="6"/>
  <c r="D4" i="17"/>
  <c r="I5" i="17"/>
  <c r="C53" i="4"/>
  <c r="J55" i="6"/>
  <c r="I55" i="6"/>
  <c r="F55" i="6"/>
  <c r="J62" i="6"/>
  <c r="I62" i="6"/>
  <c r="I5" i="6"/>
  <c r="J5" i="6" s="1"/>
  <c r="F5" i="6"/>
  <c r="I18" i="6"/>
  <c r="J18" i="6" s="1"/>
  <c r="F18" i="6"/>
  <c r="I42" i="6"/>
  <c r="J42" i="6" s="1"/>
  <c r="F42" i="6"/>
  <c r="D4" i="8"/>
  <c r="C17" i="4"/>
  <c r="I43" i="6"/>
  <c r="J43" i="6" s="1"/>
  <c r="I19" i="6"/>
  <c r="J19" i="6" s="1"/>
  <c r="J11" i="6"/>
  <c r="I11" i="6"/>
  <c r="D4" i="18"/>
  <c r="I5" i="18"/>
  <c r="I5" i="13"/>
  <c r="D4" i="13"/>
  <c r="I5" i="20"/>
  <c r="D4" i="20"/>
  <c r="M4" i="8"/>
  <c r="L2" i="8"/>
  <c r="C45" i="4"/>
  <c r="I31" i="6"/>
  <c r="J31" i="6" s="1"/>
  <c r="F31" i="6"/>
  <c r="C18" i="4"/>
  <c r="F45" i="6"/>
  <c r="F26" i="6"/>
  <c r="I28" i="6"/>
  <c r="J28" i="6" s="1"/>
  <c r="F43" i="6"/>
  <c r="I46" i="6"/>
  <c r="J46" i="6" s="1"/>
  <c r="F46" i="6"/>
  <c r="I54" i="6"/>
  <c r="J54" i="6" s="1"/>
  <c r="I41" i="6"/>
  <c r="J41" i="6" s="1"/>
  <c r="I17" i="6"/>
  <c r="J17" i="6" s="1"/>
  <c r="I7" i="6"/>
  <c r="J7" i="6" s="1"/>
  <c r="D4" i="15"/>
  <c r="I5" i="15"/>
  <c r="D4" i="9"/>
  <c r="I5" i="9"/>
  <c r="I5" i="16"/>
  <c r="D4" i="16"/>
  <c r="C37" i="4"/>
  <c r="I27" i="6"/>
  <c r="J27" i="6" s="1"/>
  <c r="F27" i="6"/>
  <c r="C10" i="4"/>
  <c r="F13" i="6"/>
  <c r="F57" i="6"/>
  <c r="I57" i="6"/>
  <c r="J57" i="6" s="1"/>
  <c r="F11" i="6"/>
  <c r="I4" i="6"/>
  <c r="J4" i="6" s="1"/>
  <c r="I32" i="6"/>
  <c r="J32" i="6" s="1"/>
  <c r="I9" i="6"/>
  <c r="J9" i="6" s="1"/>
  <c r="I33" i="6"/>
  <c r="J33" i="6" s="1"/>
  <c r="F33" i="6"/>
  <c r="I10" i="6"/>
  <c r="J10" i="6" s="1"/>
  <c r="F10" i="6"/>
  <c r="L2" i="20"/>
  <c r="M4" i="20"/>
  <c r="L2" i="16"/>
  <c r="M4" i="16"/>
  <c r="M4" i="17"/>
  <c r="L2" i="17"/>
  <c r="M4" i="14"/>
  <c r="L2" i="14"/>
  <c r="I47" i="6"/>
  <c r="J47" i="6" s="1"/>
  <c r="I30" i="6"/>
  <c r="J30" i="6" s="1"/>
  <c r="I15" i="6"/>
  <c r="J15" i="6" s="1"/>
  <c r="I58" i="6"/>
  <c r="J58" i="6" s="1"/>
  <c r="F58" i="6"/>
  <c r="D4" i="21"/>
  <c r="I5" i="21"/>
  <c r="I50" i="6"/>
  <c r="F50" i="6"/>
  <c r="J50" i="6"/>
  <c r="I35" i="6"/>
  <c r="J35" i="6" s="1"/>
  <c r="F35" i="6"/>
  <c r="I3" i="6"/>
  <c r="J3" i="6" s="1"/>
  <c r="G2" i="6"/>
  <c r="F3" i="6"/>
  <c r="I60" i="6"/>
  <c r="J60" i="6" s="1"/>
  <c r="I5" i="19"/>
  <c r="D4" i="19"/>
  <c r="I5" i="12"/>
  <c r="D4" i="12"/>
  <c r="C61" i="4"/>
  <c r="C29" i="4"/>
  <c r="I56" i="6"/>
  <c r="J56" i="6" s="1"/>
  <c r="F56" i="6"/>
  <c r="F41" i="6"/>
  <c r="F7" i="6"/>
  <c r="I37" i="6"/>
  <c r="J37" i="6" s="1"/>
  <c r="F37" i="6"/>
  <c r="I14" i="6"/>
  <c r="J14" i="6" s="1"/>
  <c r="F14" i="6"/>
  <c r="F32" i="6"/>
  <c r="F19" i="6"/>
  <c r="H3" i="1"/>
  <c r="C4" i="1"/>
  <c r="C64" i="4" l="1"/>
  <c r="D126" i="1"/>
  <c r="D78" i="1"/>
  <c r="D30" i="1"/>
  <c r="D138" i="1"/>
  <c r="D90" i="1"/>
  <c r="D42" i="1"/>
  <c r="D114" i="1"/>
  <c r="D102" i="1"/>
  <c r="D66" i="1"/>
  <c r="D54" i="1"/>
  <c r="D18" i="1"/>
  <c r="E4" i="1"/>
  <c r="F4" i="1" s="1"/>
  <c r="I4" i="1"/>
  <c r="D129" i="1"/>
  <c r="D117" i="1"/>
  <c r="D105" i="1"/>
  <c r="D45" i="1"/>
  <c r="D21" i="1"/>
  <c r="D81" i="1"/>
  <c r="D33" i="1"/>
  <c r="D93" i="1"/>
  <c r="D57" i="1"/>
  <c r="D69" i="1"/>
  <c r="D13" i="1"/>
  <c r="D133" i="1"/>
  <c r="D121" i="1"/>
  <c r="D109" i="1"/>
  <c r="D85" i="1"/>
  <c r="D61" i="1"/>
  <c r="D37" i="1"/>
  <c r="D49" i="1"/>
  <c r="D25" i="1"/>
  <c r="D73" i="1"/>
  <c r="D97" i="1"/>
  <c r="D130" i="1"/>
  <c r="D118" i="1"/>
  <c r="D106" i="1"/>
  <c r="D94" i="1"/>
  <c r="D82" i="1"/>
  <c r="D70" i="1"/>
  <c r="D46" i="1"/>
  <c r="D22" i="1"/>
  <c r="D58" i="1"/>
  <c r="D34" i="1"/>
  <c r="D136" i="1"/>
  <c r="D124" i="1"/>
  <c r="D112" i="1"/>
  <c r="D100" i="1"/>
  <c r="D88" i="1"/>
  <c r="D76" i="1"/>
  <c r="D16" i="1"/>
  <c r="D64" i="1"/>
  <c r="D40" i="1"/>
  <c r="D52" i="1"/>
  <c r="D28" i="1"/>
  <c r="D134" i="1"/>
  <c r="D122" i="1"/>
  <c r="D110" i="1"/>
  <c r="D98" i="1"/>
  <c r="D86" i="1"/>
  <c r="D74" i="1"/>
  <c r="D62" i="1"/>
  <c r="D38" i="1"/>
  <c r="D14" i="1"/>
  <c r="D50" i="1"/>
  <c r="D26" i="1"/>
  <c r="D128" i="1"/>
  <c r="D116" i="1"/>
  <c r="D104" i="1"/>
  <c r="D92" i="1"/>
  <c r="D80" i="1"/>
  <c r="D68" i="1"/>
  <c r="D32" i="1"/>
  <c r="D44" i="1"/>
  <c r="D20" i="1"/>
  <c r="D56" i="1"/>
  <c r="D131" i="1"/>
  <c r="D119" i="1"/>
  <c r="D107" i="1"/>
  <c r="D95" i="1"/>
  <c r="D83" i="1"/>
  <c r="D47" i="1"/>
  <c r="D23" i="1"/>
  <c r="D59" i="1"/>
  <c r="D35" i="1"/>
  <c r="D71" i="1"/>
  <c r="D11" i="1"/>
  <c r="D137" i="1"/>
  <c r="D125" i="1"/>
  <c r="D113" i="1"/>
  <c r="D65" i="1"/>
  <c r="D53" i="1"/>
  <c r="D29" i="1"/>
  <c r="D89" i="1"/>
  <c r="D41" i="1"/>
  <c r="D77" i="1"/>
  <c r="D17" i="1"/>
  <c r="D101" i="1"/>
  <c r="D132" i="1"/>
  <c r="D120" i="1"/>
  <c r="D108" i="1"/>
  <c r="D96" i="1"/>
  <c r="D84" i="1"/>
  <c r="D72" i="1"/>
  <c r="D60" i="1"/>
  <c r="D36" i="1"/>
  <c r="D12" i="1"/>
  <c r="D48" i="1"/>
  <c r="D24" i="1"/>
  <c r="C5" i="1" l="1"/>
  <c r="H4" i="1"/>
  <c r="E5" i="1" l="1"/>
  <c r="F5" i="1" s="1"/>
  <c r="I5" i="1"/>
  <c r="C6" i="1" l="1"/>
  <c r="H5" i="1"/>
  <c r="I6" i="1" l="1"/>
  <c r="E6" i="1"/>
  <c r="K2" i="1" l="1"/>
  <c r="L3" i="1" s="1"/>
  <c r="F6" i="1"/>
  <c r="C7" i="1" l="1"/>
  <c r="H6" i="1"/>
  <c r="E7" i="1" l="1"/>
  <c r="F7" i="1" s="1"/>
  <c r="I7" i="1"/>
  <c r="H7" i="1" l="1"/>
  <c r="C8" i="1"/>
  <c r="I8" i="1" l="1"/>
  <c r="E8" i="1"/>
  <c r="F8" i="1" s="1"/>
  <c r="C9" i="1" l="1"/>
  <c r="H8" i="1"/>
  <c r="E9" i="1" l="1"/>
  <c r="F9" i="1" s="1"/>
  <c r="I9" i="1"/>
  <c r="C10" i="1" l="1"/>
  <c r="H9" i="1"/>
  <c r="I10" i="1" l="1"/>
  <c r="E10" i="1"/>
  <c r="F10" i="1" s="1"/>
  <c r="C11" i="1" l="1"/>
  <c r="H10" i="1"/>
  <c r="I11" i="1" l="1"/>
  <c r="E11" i="1"/>
  <c r="F11" i="1" s="1"/>
  <c r="C12" i="1" l="1"/>
  <c r="H11" i="1"/>
  <c r="E12" i="1" l="1"/>
  <c r="F12" i="1" s="1"/>
  <c r="I12" i="1"/>
  <c r="C13" i="1" l="1"/>
  <c r="H12" i="1"/>
  <c r="I13" i="1" l="1"/>
  <c r="E13" i="1"/>
  <c r="F13" i="1" s="1"/>
  <c r="C14" i="1" l="1"/>
  <c r="H13" i="1"/>
  <c r="I14" i="1" l="1"/>
  <c r="E14" i="1"/>
  <c r="F14" i="1" s="1"/>
  <c r="C15" i="1" l="1"/>
  <c r="H14" i="1"/>
  <c r="E15" i="1" l="1"/>
  <c r="F15" i="1" s="1"/>
  <c r="I15" i="1"/>
  <c r="H15" i="1" l="1"/>
  <c r="C16" i="1"/>
  <c r="I16" i="1" l="1"/>
  <c r="E16" i="1"/>
  <c r="F16" i="1" s="1"/>
  <c r="H16" i="1" l="1"/>
  <c r="C17" i="1"/>
  <c r="E17" i="1" l="1"/>
  <c r="F17" i="1" s="1"/>
  <c r="I17" i="1"/>
  <c r="C18" i="1" l="1"/>
  <c r="H17" i="1"/>
  <c r="E18" i="1" l="1"/>
  <c r="I18" i="1"/>
  <c r="F18" i="1" l="1"/>
  <c r="K3" i="1"/>
  <c r="L4" i="1" l="1"/>
  <c r="M3" i="1"/>
  <c r="H18" i="1"/>
  <c r="C19" i="1"/>
  <c r="E19" i="1" l="1"/>
  <c r="F19" i="1" s="1"/>
  <c r="I19" i="1"/>
  <c r="C20" i="1" l="1"/>
  <c r="H19" i="1"/>
  <c r="E20" i="1" l="1"/>
  <c r="F20" i="1" s="1"/>
  <c r="I20" i="1"/>
  <c r="H20" i="1" l="1"/>
  <c r="C21" i="1"/>
  <c r="E21" i="1" l="1"/>
  <c r="F21" i="1" s="1"/>
  <c r="I21" i="1"/>
  <c r="C22" i="1" l="1"/>
  <c r="H21" i="1"/>
  <c r="I22" i="1" l="1"/>
  <c r="E22" i="1"/>
  <c r="F22" i="1" s="1"/>
  <c r="H22" i="1" l="1"/>
  <c r="C23" i="1"/>
  <c r="E23" i="1" l="1"/>
  <c r="F23" i="1" s="1"/>
  <c r="I23" i="1"/>
  <c r="C24" i="1" l="1"/>
  <c r="H23" i="1"/>
  <c r="I24" i="1" l="1"/>
  <c r="E24" i="1"/>
  <c r="F24" i="1" s="1"/>
  <c r="H24" i="1" l="1"/>
  <c r="C25" i="1"/>
  <c r="E25" i="1" l="1"/>
  <c r="F25" i="1" s="1"/>
  <c r="I25" i="1"/>
  <c r="C26" i="1" l="1"/>
  <c r="H25" i="1"/>
  <c r="I26" i="1" l="1"/>
  <c r="E26" i="1"/>
  <c r="F26" i="1" s="1"/>
  <c r="H26" i="1" l="1"/>
  <c r="C27" i="1"/>
  <c r="E27" i="1" l="1"/>
  <c r="F27" i="1" s="1"/>
  <c r="I27" i="1"/>
  <c r="C28" i="1" l="1"/>
  <c r="H27" i="1"/>
  <c r="E28" i="1" l="1"/>
  <c r="F28" i="1" s="1"/>
  <c r="I28" i="1"/>
  <c r="H28" i="1" l="1"/>
  <c r="C29" i="1"/>
  <c r="E29" i="1" l="1"/>
  <c r="F29" i="1" s="1"/>
  <c r="I29" i="1"/>
  <c r="C30" i="1" l="1"/>
  <c r="H29" i="1"/>
  <c r="E30" i="1" l="1"/>
  <c r="I30" i="1"/>
  <c r="K4" i="1" l="1"/>
  <c r="F30" i="1"/>
  <c r="H30" i="1" l="1"/>
  <c r="C31" i="1"/>
  <c r="L5" i="1"/>
  <c r="M4" i="1"/>
  <c r="E31" i="1" l="1"/>
  <c r="F31" i="1" s="1"/>
  <c r="I31" i="1"/>
  <c r="C32" i="1" l="1"/>
  <c r="H31" i="1"/>
  <c r="I32" i="1" l="1"/>
  <c r="E32" i="1"/>
  <c r="F32" i="1" s="1"/>
  <c r="H32" i="1" l="1"/>
  <c r="C33" i="1"/>
  <c r="E33" i="1" l="1"/>
  <c r="F33" i="1" s="1"/>
  <c r="I33" i="1"/>
  <c r="C34" i="1" l="1"/>
  <c r="H33" i="1"/>
  <c r="E34" i="1" l="1"/>
  <c r="F34" i="1" s="1"/>
  <c r="I34" i="1"/>
  <c r="H34" i="1" l="1"/>
  <c r="C35" i="1"/>
  <c r="E35" i="1" l="1"/>
  <c r="F35" i="1" s="1"/>
  <c r="I35" i="1"/>
  <c r="C36" i="1" l="1"/>
  <c r="H35" i="1"/>
  <c r="E36" i="1" l="1"/>
  <c r="F36" i="1" s="1"/>
  <c r="I36" i="1"/>
  <c r="H36" i="1" l="1"/>
  <c r="C37" i="1"/>
  <c r="E37" i="1" l="1"/>
  <c r="F37" i="1" s="1"/>
  <c r="I37" i="1"/>
  <c r="C38" i="1" l="1"/>
  <c r="H37" i="1"/>
  <c r="E38" i="1" l="1"/>
  <c r="F38" i="1" s="1"/>
  <c r="I38" i="1"/>
  <c r="H38" i="1" l="1"/>
  <c r="C39" i="1"/>
  <c r="E39" i="1" l="1"/>
  <c r="F39" i="1" s="1"/>
  <c r="I39" i="1"/>
  <c r="C40" i="1" l="1"/>
  <c r="H39" i="1"/>
  <c r="I40" i="1" l="1"/>
  <c r="E40" i="1"/>
  <c r="F40" i="1" s="1"/>
  <c r="H40" i="1" l="1"/>
  <c r="C41" i="1"/>
  <c r="E41" i="1" l="1"/>
  <c r="F41" i="1" s="1"/>
  <c r="I41" i="1"/>
  <c r="C42" i="1" l="1"/>
  <c r="H41" i="1"/>
  <c r="E42" i="1" l="1"/>
  <c r="I42" i="1"/>
  <c r="F42" i="1" l="1"/>
  <c r="K5" i="1"/>
  <c r="L6" i="1" l="1"/>
  <c r="M5" i="1"/>
  <c r="H42" i="1"/>
  <c r="C43" i="1"/>
  <c r="E43" i="1" l="1"/>
  <c r="F43" i="1" s="1"/>
  <c r="I43" i="1"/>
  <c r="C44" i="1" l="1"/>
  <c r="H43" i="1"/>
  <c r="E44" i="1" l="1"/>
  <c r="F44" i="1" s="1"/>
  <c r="I44" i="1"/>
  <c r="H44" i="1" l="1"/>
  <c r="C45" i="1"/>
  <c r="E45" i="1" l="1"/>
  <c r="F45" i="1" s="1"/>
  <c r="I45" i="1"/>
  <c r="C46" i="1" l="1"/>
  <c r="H45" i="1"/>
  <c r="I46" i="1" l="1"/>
  <c r="E46" i="1"/>
  <c r="F46" i="1" s="1"/>
  <c r="H46" i="1" l="1"/>
  <c r="C47" i="1"/>
  <c r="E47" i="1" l="1"/>
  <c r="F47" i="1" s="1"/>
  <c r="I47" i="1"/>
  <c r="C48" i="1" l="1"/>
  <c r="H47" i="1"/>
  <c r="I48" i="1" l="1"/>
  <c r="E48" i="1"/>
  <c r="F48" i="1" s="1"/>
  <c r="H48" i="1" l="1"/>
  <c r="C49" i="1"/>
  <c r="E49" i="1" l="1"/>
  <c r="F49" i="1" s="1"/>
  <c r="I49" i="1"/>
  <c r="C50" i="1" l="1"/>
  <c r="H49" i="1"/>
  <c r="I50" i="1" l="1"/>
  <c r="E50" i="1"/>
  <c r="F50" i="1" s="1"/>
  <c r="H50" i="1" l="1"/>
  <c r="C51" i="1"/>
  <c r="E51" i="1" l="1"/>
  <c r="F51" i="1" s="1"/>
  <c r="I51" i="1"/>
  <c r="C52" i="1" l="1"/>
  <c r="H51" i="1"/>
  <c r="E52" i="1" l="1"/>
  <c r="F52" i="1" s="1"/>
  <c r="I52" i="1"/>
  <c r="H52" i="1" l="1"/>
  <c r="C53" i="1"/>
  <c r="E53" i="1" l="1"/>
  <c r="F53" i="1" s="1"/>
  <c r="I53" i="1"/>
  <c r="C54" i="1" l="1"/>
  <c r="H53" i="1"/>
  <c r="E54" i="1" l="1"/>
  <c r="I54" i="1"/>
  <c r="F54" i="1" l="1"/>
  <c r="K6" i="1"/>
  <c r="L7" i="1" l="1"/>
  <c r="M6" i="1"/>
  <c r="H54" i="1"/>
  <c r="C55" i="1"/>
  <c r="E55" i="1" l="1"/>
  <c r="F55" i="1" s="1"/>
  <c r="I55" i="1"/>
  <c r="C56" i="1" l="1"/>
  <c r="H55" i="1"/>
  <c r="I56" i="1" l="1"/>
  <c r="E56" i="1"/>
  <c r="F56" i="1" s="1"/>
  <c r="H56" i="1" l="1"/>
  <c r="C57" i="1"/>
  <c r="E57" i="1" l="1"/>
  <c r="F57" i="1" s="1"/>
  <c r="I57" i="1"/>
  <c r="C58" i="1" l="1"/>
  <c r="H57" i="1"/>
  <c r="E58" i="1" l="1"/>
  <c r="F58" i="1" s="1"/>
  <c r="I58" i="1"/>
  <c r="H58" i="1" l="1"/>
  <c r="C59" i="1"/>
  <c r="E59" i="1" l="1"/>
  <c r="F59" i="1" s="1"/>
  <c r="I59" i="1"/>
  <c r="C60" i="1" l="1"/>
  <c r="H59" i="1"/>
  <c r="E60" i="1" l="1"/>
  <c r="F60" i="1" s="1"/>
  <c r="I60" i="1"/>
  <c r="H60" i="1" l="1"/>
  <c r="C61" i="1"/>
  <c r="E61" i="1" l="1"/>
  <c r="F61" i="1" s="1"/>
  <c r="I61" i="1"/>
  <c r="C62" i="1" l="1"/>
  <c r="H61" i="1"/>
  <c r="E62" i="1" l="1"/>
  <c r="F62" i="1" s="1"/>
  <c r="I62" i="1"/>
  <c r="H62" i="1" l="1"/>
  <c r="C63" i="1"/>
  <c r="E63" i="1" l="1"/>
  <c r="F63" i="1" s="1"/>
  <c r="I63" i="1"/>
  <c r="C64" i="1" l="1"/>
  <c r="H63" i="1"/>
  <c r="E64" i="1" l="1"/>
  <c r="F64" i="1" s="1"/>
  <c r="I64" i="1"/>
  <c r="C65" i="1" l="1"/>
  <c r="H64" i="1"/>
  <c r="I65" i="1" l="1"/>
  <c r="E65" i="1"/>
  <c r="F65" i="1" s="1"/>
  <c r="C66" i="1" l="1"/>
  <c r="H65" i="1"/>
  <c r="I66" i="1" l="1"/>
  <c r="E66" i="1"/>
  <c r="F66" i="1" l="1"/>
  <c r="K7" i="1"/>
  <c r="L8" i="1" l="1"/>
  <c r="M7" i="1"/>
  <c r="H66" i="1"/>
  <c r="C67" i="1"/>
  <c r="I67" i="1" l="1"/>
  <c r="E67" i="1"/>
  <c r="F67" i="1" s="1"/>
  <c r="H67" i="1" l="1"/>
  <c r="C68" i="1"/>
  <c r="I68" i="1" l="1"/>
  <c r="E68" i="1"/>
  <c r="F68" i="1" s="1"/>
  <c r="C69" i="1" l="1"/>
  <c r="H68" i="1"/>
  <c r="E69" i="1" l="1"/>
  <c r="F69" i="1" s="1"/>
  <c r="I69" i="1"/>
  <c r="H69" i="1" l="1"/>
  <c r="C70" i="1"/>
  <c r="E70" i="1" l="1"/>
  <c r="F70" i="1" s="1"/>
  <c r="I70" i="1"/>
  <c r="C71" i="1" l="1"/>
  <c r="H70" i="1"/>
  <c r="E71" i="1" l="1"/>
  <c r="F71" i="1" s="1"/>
  <c r="I71" i="1"/>
  <c r="H71" i="1" l="1"/>
  <c r="C72" i="1"/>
  <c r="E72" i="1" l="1"/>
  <c r="F72" i="1" s="1"/>
  <c r="I72" i="1"/>
  <c r="C73" i="1" l="1"/>
  <c r="H72" i="1"/>
  <c r="E73" i="1" l="1"/>
  <c r="F73" i="1" s="1"/>
  <c r="I73" i="1"/>
  <c r="H73" i="1" l="1"/>
  <c r="C74" i="1"/>
  <c r="E74" i="1" l="1"/>
  <c r="F74" i="1" s="1"/>
  <c r="I74" i="1"/>
  <c r="C75" i="1" l="1"/>
  <c r="H74" i="1"/>
  <c r="E75" i="1" l="1"/>
  <c r="F75" i="1" s="1"/>
  <c r="I75" i="1"/>
  <c r="H75" i="1" l="1"/>
  <c r="C76" i="1"/>
  <c r="E76" i="1" l="1"/>
  <c r="F76" i="1" s="1"/>
  <c r="I76" i="1"/>
  <c r="C77" i="1" l="1"/>
  <c r="H76" i="1"/>
  <c r="E77" i="1" l="1"/>
  <c r="F77" i="1" s="1"/>
  <c r="I77" i="1"/>
  <c r="H77" i="1" l="1"/>
  <c r="C78" i="1"/>
  <c r="E78" i="1" l="1"/>
  <c r="I78" i="1"/>
  <c r="K8" i="1" l="1"/>
  <c r="F78" i="1"/>
  <c r="C79" i="1" l="1"/>
  <c r="H78" i="1"/>
  <c r="L9" i="1"/>
  <c r="M8" i="1"/>
  <c r="E79" i="1" l="1"/>
  <c r="F79" i="1" s="1"/>
  <c r="I79" i="1"/>
  <c r="H79" i="1" l="1"/>
  <c r="C80" i="1"/>
  <c r="E80" i="1" l="1"/>
  <c r="F80" i="1" s="1"/>
  <c r="I80" i="1"/>
  <c r="C81" i="1" l="1"/>
  <c r="H80" i="1"/>
  <c r="E81" i="1" l="1"/>
  <c r="F81" i="1" s="1"/>
  <c r="I81" i="1"/>
  <c r="H81" i="1" l="1"/>
  <c r="C82" i="1"/>
  <c r="E82" i="1" l="1"/>
  <c r="F82" i="1" s="1"/>
  <c r="I82" i="1"/>
  <c r="C83" i="1" l="1"/>
  <c r="H82" i="1"/>
  <c r="E83" i="1" l="1"/>
  <c r="F83" i="1" s="1"/>
  <c r="I83" i="1"/>
  <c r="H83" i="1" l="1"/>
  <c r="C84" i="1"/>
  <c r="E84" i="1" l="1"/>
  <c r="F84" i="1" s="1"/>
  <c r="I84" i="1"/>
  <c r="C85" i="1" l="1"/>
  <c r="H84" i="1"/>
  <c r="E85" i="1" l="1"/>
  <c r="F85" i="1" s="1"/>
  <c r="I85" i="1"/>
  <c r="H85" i="1" l="1"/>
  <c r="C86" i="1"/>
  <c r="E86" i="1" l="1"/>
  <c r="F86" i="1" s="1"/>
  <c r="I86" i="1"/>
  <c r="C87" i="1" l="1"/>
  <c r="H86" i="1"/>
  <c r="E87" i="1" l="1"/>
  <c r="F87" i="1" s="1"/>
  <c r="I87" i="1"/>
  <c r="H87" i="1" l="1"/>
  <c r="C88" i="1"/>
  <c r="E88" i="1" l="1"/>
  <c r="F88" i="1" s="1"/>
  <c r="I88" i="1"/>
  <c r="C89" i="1" l="1"/>
  <c r="H88" i="1"/>
  <c r="E89" i="1" l="1"/>
  <c r="F89" i="1" s="1"/>
  <c r="I89" i="1"/>
  <c r="H89" i="1" l="1"/>
  <c r="C90" i="1"/>
  <c r="E90" i="1" l="1"/>
  <c r="I90" i="1"/>
  <c r="F90" i="1" l="1"/>
  <c r="K9" i="1"/>
  <c r="L10" i="1" l="1"/>
  <c r="M9" i="1"/>
  <c r="C91" i="1"/>
  <c r="H90" i="1"/>
  <c r="E91" i="1" l="1"/>
  <c r="F91" i="1" s="1"/>
  <c r="I91" i="1"/>
  <c r="H91" i="1" l="1"/>
  <c r="C92" i="1"/>
  <c r="E92" i="1" l="1"/>
  <c r="F92" i="1" s="1"/>
  <c r="I92" i="1"/>
  <c r="C93" i="1" l="1"/>
  <c r="H92" i="1"/>
  <c r="E93" i="1" l="1"/>
  <c r="F93" i="1" s="1"/>
  <c r="I93" i="1"/>
  <c r="H93" i="1" l="1"/>
  <c r="C94" i="1"/>
  <c r="E94" i="1" l="1"/>
  <c r="F94" i="1" s="1"/>
  <c r="I94" i="1"/>
  <c r="C95" i="1" l="1"/>
  <c r="H94" i="1"/>
  <c r="E95" i="1" l="1"/>
  <c r="F95" i="1" s="1"/>
  <c r="I95" i="1"/>
  <c r="H95" i="1" l="1"/>
  <c r="C96" i="1"/>
  <c r="E96" i="1" l="1"/>
  <c r="F96" i="1" s="1"/>
  <c r="I96" i="1"/>
  <c r="C97" i="1" l="1"/>
  <c r="H96" i="1"/>
  <c r="E97" i="1" l="1"/>
  <c r="F97" i="1" s="1"/>
  <c r="I97" i="1"/>
  <c r="H97" i="1" l="1"/>
  <c r="C98" i="1"/>
  <c r="E98" i="1" l="1"/>
  <c r="F98" i="1" s="1"/>
  <c r="I98" i="1"/>
  <c r="C99" i="1" l="1"/>
  <c r="H98" i="1"/>
  <c r="E99" i="1" l="1"/>
  <c r="F99" i="1" s="1"/>
  <c r="I99" i="1"/>
  <c r="H99" i="1" l="1"/>
  <c r="C100" i="1"/>
  <c r="E100" i="1" l="1"/>
  <c r="F100" i="1" s="1"/>
  <c r="I100" i="1"/>
  <c r="C101" i="1" l="1"/>
  <c r="H100" i="1"/>
  <c r="E101" i="1" l="1"/>
  <c r="F101" i="1" s="1"/>
  <c r="I101" i="1"/>
  <c r="H101" i="1" l="1"/>
  <c r="C102" i="1"/>
  <c r="E102" i="1" l="1"/>
  <c r="I102" i="1"/>
  <c r="F102" i="1" l="1"/>
  <c r="K10" i="1"/>
  <c r="M10" i="1" l="1"/>
  <c r="L11" i="1"/>
  <c r="C103" i="1"/>
  <c r="H102" i="1"/>
  <c r="E103" i="1" l="1"/>
  <c r="F103" i="1" s="1"/>
  <c r="I103" i="1"/>
  <c r="H103" i="1" l="1"/>
  <c r="C104" i="1"/>
  <c r="E104" i="1" l="1"/>
  <c r="F104" i="1" s="1"/>
  <c r="I104" i="1"/>
  <c r="C105" i="1" l="1"/>
  <c r="H104" i="1"/>
  <c r="E105" i="1" l="1"/>
  <c r="F105" i="1" s="1"/>
  <c r="I105" i="1"/>
  <c r="H105" i="1" l="1"/>
  <c r="C106" i="1"/>
  <c r="E106" i="1" l="1"/>
  <c r="F106" i="1" s="1"/>
  <c r="I106" i="1"/>
  <c r="C107" i="1" l="1"/>
  <c r="H106" i="1"/>
  <c r="E107" i="1" l="1"/>
  <c r="F107" i="1" s="1"/>
  <c r="I107" i="1"/>
  <c r="H107" i="1" l="1"/>
  <c r="C108" i="1"/>
  <c r="E108" i="1" l="1"/>
  <c r="F108" i="1" s="1"/>
  <c r="I108" i="1"/>
  <c r="C109" i="1" l="1"/>
  <c r="H108" i="1"/>
  <c r="E109" i="1" l="1"/>
  <c r="F109" i="1" s="1"/>
  <c r="I109" i="1"/>
  <c r="H109" i="1" l="1"/>
  <c r="C110" i="1"/>
  <c r="E110" i="1" l="1"/>
  <c r="F110" i="1" s="1"/>
  <c r="I110" i="1"/>
  <c r="C111" i="1" l="1"/>
  <c r="H110" i="1"/>
  <c r="E111" i="1" l="1"/>
  <c r="F111" i="1" s="1"/>
  <c r="I111" i="1"/>
  <c r="H111" i="1" l="1"/>
  <c r="C112" i="1"/>
  <c r="E112" i="1" l="1"/>
  <c r="F112" i="1" s="1"/>
  <c r="I112" i="1"/>
  <c r="C113" i="1" l="1"/>
  <c r="H112" i="1"/>
  <c r="E113" i="1" l="1"/>
  <c r="F113" i="1" s="1"/>
  <c r="I113" i="1"/>
  <c r="H113" i="1" l="1"/>
  <c r="C114" i="1"/>
  <c r="E114" i="1" l="1"/>
  <c r="I114" i="1"/>
  <c r="F114" i="1" l="1"/>
  <c r="K11" i="1"/>
  <c r="M11" i="1" l="1"/>
  <c r="L12" i="1"/>
  <c r="C115" i="1"/>
  <c r="H114" i="1"/>
  <c r="E115" i="1" l="1"/>
  <c r="F115" i="1" s="1"/>
  <c r="I115" i="1"/>
  <c r="H115" i="1" l="1"/>
  <c r="C116" i="1"/>
  <c r="E116" i="1" l="1"/>
  <c r="F116" i="1" s="1"/>
  <c r="I116" i="1"/>
  <c r="C117" i="1" l="1"/>
  <c r="H116" i="1"/>
  <c r="E117" i="1" l="1"/>
  <c r="F117" i="1" s="1"/>
  <c r="I117" i="1"/>
  <c r="H117" i="1" l="1"/>
  <c r="C118" i="1"/>
  <c r="E118" i="1" l="1"/>
  <c r="F118" i="1" s="1"/>
  <c r="I118" i="1"/>
  <c r="C119" i="1" l="1"/>
  <c r="H118" i="1"/>
  <c r="E119" i="1" l="1"/>
  <c r="F119" i="1" s="1"/>
  <c r="I119" i="1"/>
  <c r="H119" i="1" l="1"/>
  <c r="C120" i="1"/>
  <c r="E120" i="1" l="1"/>
  <c r="F120" i="1" s="1"/>
  <c r="I120" i="1"/>
  <c r="C121" i="1" l="1"/>
  <c r="H120" i="1"/>
  <c r="E121" i="1" l="1"/>
  <c r="F121" i="1" s="1"/>
  <c r="I121" i="1"/>
  <c r="H121" i="1" l="1"/>
  <c r="C122" i="1"/>
  <c r="E122" i="1" l="1"/>
  <c r="F122" i="1" s="1"/>
  <c r="I122" i="1"/>
  <c r="C123" i="1" l="1"/>
  <c r="H122" i="1"/>
  <c r="E123" i="1" l="1"/>
  <c r="F123" i="1" s="1"/>
  <c r="I123" i="1"/>
  <c r="H123" i="1" l="1"/>
  <c r="C124" i="1"/>
  <c r="E124" i="1" l="1"/>
  <c r="F124" i="1" s="1"/>
  <c r="I124" i="1"/>
  <c r="C125" i="1" l="1"/>
  <c r="H124" i="1"/>
  <c r="E125" i="1" l="1"/>
  <c r="F125" i="1" s="1"/>
  <c r="I125" i="1"/>
  <c r="H125" i="1" l="1"/>
  <c r="C126" i="1"/>
  <c r="E126" i="1" l="1"/>
  <c r="I126" i="1"/>
  <c r="K12" i="1" l="1"/>
  <c r="F126" i="1"/>
  <c r="C127" i="1" l="1"/>
  <c r="H126" i="1"/>
  <c r="L13" i="1"/>
  <c r="M12" i="1"/>
  <c r="E127" i="1" l="1"/>
  <c r="F127" i="1" s="1"/>
  <c r="I127" i="1"/>
  <c r="H127" i="1" l="1"/>
  <c r="C128" i="1"/>
  <c r="E128" i="1" l="1"/>
  <c r="F128" i="1" s="1"/>
  <c r="I128" i="1"/>
  <c r="C129" i="1" l="1"/>
  <c r="H128" i="1"/>
  <c r="E129" i="1" l="1"/>
  <c r="F129" i="1" s="1"/>
  <c r="I129" i="1"/>
  <c r="H129" i="1" l="1"/>
  <c r="C130" i="1"/>
  <c r="E130" i="1" l="1"/>
  <c r="F130" i="1" s="1"/>
  <c r="I130" i="1"/>
  <c r="C131" i="1" l="1"/>
  <c r="H130" i="1"/>
  <c r="E131" i="1" l="1"/>
  <c r="F131" i="1" s="1"/>
  <c r="I131" i="1"/>
  <c r="H131" i="1" l="1"/>
  <c r="C132" i="1"/>
  <c r="E132" i="1" l="1"/>
  <c r="F132" i="1" s="1"/>
  <c r="I132" i="1"/>
  <c r="C133" i="1" l="1"/>
  <c r="H132" i="1"/>
  <c r="E133" i="1" l="1"/>
  <c r="F133" i="1" s="1"/>
  <c r="I133" i="1"/>
  <c r="H133" i="1" l="1"/>
  <c r="C134" i="1"/>
  <c r="E134" i="1" l="1"/>
  <c r="F134" i="1" s="1"/>
  <c r="I134" i="1"/>
  <c r="C135" i="1" l="1"/>
  <c r="H134" i="1"/>
  <c r="E135" i="1" l="1"/>
  <c r="F135" i="1" s="1"/>
  <c r="I135" i="1"/>
  <c r="H135" i="1" l="1"/>
  <c r="C136" i="1"/>
  <c r="E136" i="1" l="1"/>
  <c r="F136" i="1" s="1"/>
  <c r="I136" i="1"/>
  <c r="C137" i="1" l="1"/>
  <c r="H136" i="1"/>
  <c r="E137" i="1" l="1"/>
  <c r="F137" i="1" s="1"/>
  <c r="I137" i="1"/>
  <c r="H137" i="1" l="1"/>
  <c r="C138" i="1"/>
  <c r="E138" i="1" l="1"/>
  <c r="I138" i="1"/>
  <c r="C139" i="1"/>
  <c r="F138" i="1" l="1"/>
  <c r="H138" i="1" s="1"/>
  <c r="K13" i="1"/>
  <c r="M13" i="1" s="1"/>
</calcChain>
</file>

<file path=xl/sharedStrings.xml><?xml version="1.0" encoding="utf-8"?>
<sst xmlns="http://schemas.openxmlformats.org/spreadsheetml/2006/main" count="1087" uniqueCount="225">
  <si>
    <t>Year</t>
  </si>
  <si>
    <t>Month</t>
  </si>
  <si>
    <t>Invested</t>
  </si>
  <si>
    <t>Return</t>
  </si>
  <si>
    <t>Win Per Year</t>
  </si>
  <si>
    <t>Win Per Month</t>
  </si>
  <si>
    <t>Fix Invest</t>
  </si>
  <si>
    <t>Invest. Profit</t>
  </si>
  <si>
    <t>Total Invested</t>
  </si>
  <si>
    <t>Win/Year</t>
  </si>
  <si>
    <t>Procent</t>
  </si>
  <si>
    <t>August</t>
  </si>
  <si>
    <t>September</t>
  </si>
  <si>
    <t>Octomber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</si>
  <si>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</si>
  <si>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</si>
  <si>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</si>
  <si>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</si>
  <si>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</si>
  <si>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</si>
  <si>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</si>
  <si>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</si>
  <si>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</si>
  <si>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EOD Rata BT</t>
  </si>
  <si>
    <t>EOF (BT2)</t>
  </si>
  <si>
    <t>EOF (Unicredit)</t>
  </si>
  <si>
    <t>EOF (BT1)</t>
  </si>
  <si>
    <t>EOD UniCredit</t>
  </si>
  <si>
    <t>Total</t>
  </si>
  <si>
    <t>Ianuarie</t>
  </si>
  <si>
    <t>Februarie</t>
  </si>
  <si>
    <t>Martie</t>
  </si>
  <si>
    <t>Aprilie</t>
  </si>
  <si>
    <t>Mai</t>
  </si>
  <si>
    <t>Iunie</t>
  </si>
  <si>
    <t>Iulie</t>
  </si>
  <si>
    <t>Septembrie</t>
  </si>
  <si>
    <t>Octombrie</t>
  </si>
  <si>
    <t>Noiembrie</t>
  </si>
  <si>
    <t>Decembrie</t>
  </si>
  <si>
    <t>Share</t>
  </si>
  <si>
    <t>Share price</t>
  </si>
  <si>
    <t>EPS</t>
  </si>
  <si>
    <t>Groth rate 5Y</t>
  </si>
  <si>
    <t>Intresinc Value</t>
  </si>
  <si>
    <t>Diference Price</t>
  </si>
  <si>
    <t>Sell/Buy/Reject</t>
  </si>
  <si>
    <t>P/E no growth</t>
  </si>
  <si>
    <t>2g</t>
  </si>
  <si>
    <t>CWH</t>
  </si>
  <si>
    <t>Average Yield AAA</t>
  </si>
  <si>
    <t>MCD</t>
  </si>
  <si>
    <t>Current Average Yield AAA corporate bonds</t>
  </si>
  <si>
    <t>GPC</t>
  </si>
  <si>
    <t>Aceptable Price Diference</t>
  </si>
  <si>
    <t>LVMH</t>
  </si>
  <si>
    <t>NWL</t>
  </si>
  <si>
    <t>EL</t>
  </si>
  <si>
    <t>KO</t>
  </si>
  <si>
    <t>MO</t>
  </si>
  <si>
    <t>UVV</t>
  </si>
  <si>
    <t>X</t>
  </si>
  <si>
    <t>PM</t>
  </si>
  <si>
    <t>BTI</t>
  </si>
  <si>
    <t>PEP</t>
  </si>
  <si>
    <t>CL</t>
  </si>
  <si>
    <t>PG</t>
  </si>
  <si>
    <t>KMB</t>
  </si>
  <si>
    <t>CAG</t>
  </si>
  <si>
    <t>SYY</t>
  </si>
  <si>
    <t>DVN</t>
  </si>
  <si>
    <t>OKE</t>
  </si>
  <si>
    <t>ENB</t>
  </si>
  <si>
    <t>CVX</t>
  </si>
  <si>
    <t>BP</t>
  </si>
  <si>
    <t>TRIG</t>
  </si>
  <si>
    <t>TROW</t>
  </si>
  <si>
    <t>BSIF</t>
  </si>
  <si>
    <t>JPM</t>
  </si>
  <si>
    <t>NYCB</t>
  </si>
  <si>
    <t>CINF</t>
  </si>
  <si>
    <t>AFG</t>
  </si>
  <si>
    <t>ALLY</t>
  </si>
  <si>
    <t>DOV</t>
  </si>
  <si>
    <t>PH</t>
  </si>
  <si>
    <t>EMR</t>
  </si>
  <si>
    <t>CMI</t>
  </si>
  <si>
    <t>GD</t>
  </si>
  <si>
    <t>DE</t>
  </si>
  <si>
    <t>CAT</t>
  </si>
  <si>
    <t>EPR</t>
  </si>
  <si>
    <t>AMT</t>
  </si>
  <si>
    <t>GLPI</t>
  </si>
  <si>
    <t>FRT</t>
  </si>
  <si>
    <t>O</t>
  </si>
  <si>
    <t>NNN</t>
  </si>
  <si>
    <t>SPG</t>
  </si>
  <si>
    <t>GNL</t>
  </si>
  <si>
    <t>ABR</t>
  </si>
  <si>
    <t>QCOM</t>
  </si>
  <si>
    <t>TSM</t>
  </si>
  <si>
    <t>MSFT</t>
  </si>
  <si>
    <t>AAPL</t>
  </si>
  <si>
    <t>IBM</t>
  </si>
  <si>
    <t>JNJ</t>
  </si>
  <si>
    <t>PFE</t>
  </si>
  <si>
    <t>ABBV</t>
  </si>
  <si>
    <t>VZ</t>
  </si>
  <si>
    <t>T</t>
  </si>
  <si>
    <t>SO</t>
  </si>
  <si>
    <t>DUK</t>
  </si>
  <si>
    <t>EIX</t>
  </si>
  <si>
    <t>AWR</t>
  </si>
  <si>
    <t>NWN</t>
  </si>
  <si>
    <t>APD</t>
  </si>
  <si>
    <t>ROI 2022</t>
  </si>
  <si>
    <t>ROI 2023</t>
  </si>
  <si>
    <t>Media</t>
  </si>
  <si>
    <t>`</t>
  </si>
  <si>
    <t>Yield per year</t>
  </si>
  <si>
    <t>Pay per share</t>
  </si>
  <si>
    <t>Intrinsec Value</t>
  </si>
  <si>
    <t>Intrest peeak</t>
  </si>
  <si>
    <t>Owned shares</t>
  </si>
  <si>
    <t>Tax ratio %</t>
  </si>
  <si>
    <t xml:space="preserve"> Tax value</t>
  </si>
  <si>
    <t>Profit</t>
  </si>
  <si>
    <t>Sector</t>
  </si>
  <si>
    <t>Industry</t>
  </si>
  <si>
    <t>Employees</t>
  </si>
  <si>
    <t>Consumer Cyclical</t>
  </si>
  <si>
    <t>Auto &amp; Truck Dealerships</t>
  </si>
  <si>
    <t>Restaurants</t>
  </si>
  <si>
    <t>Specialty Retail</t>
  </si>
  <si>
    <t>Luxury Goods</t>
  </si>
  <si>
    <t>Consumer Defensive</t>
  </si>
  <si>
    <t>Household &amp; Personal Products</t>
  </si>
  <si>
    <t>-</t>
  </si>
  <si>
    <t>Beverages—Non-Alcoholic</t>
  </si>
  <si>
    <t>Tobacco</t>
  </si>
  <si>
    <t>Packaged Foods</t>
  </si>
  <si>
    <t>Food Distribution</t>
  </si>
  <si>
    <t>Energy</t>
  </si>
  <si>
    <t>Oil &amp; Gas E&amp;P</t>
  </si>
  <si>
    <t>Oil &amp; Gas Midstream</t>
  </si>
  <si>
    <t>Oil &amp; Gas Integrated</t>
  </si>
  <si>
    <t>Renewable Energy Infrastructure</t>
  </si>
  <si>
    <t>Financial Services</t>
  </si>
  <si>
    <t>Asset Management</t>
  </si>
  <si>
    <t>Banks—Diversified</t>
  </si>
  <si>
    <t>Banks—Regional</t>
  </si>
  <si>
    <t>Insurance—Property &amp; Casualty</t>
  </si>
  <si>
    <t>Credit Services</t>
  </si>
  <si>
    <t>Industrials</t>
  </si>
  <si>
    <t>Specialty Industrial Machinery</t>
  </si>
  <si>
    <t>Aerospace &amp; Defense</t>
  </si>
  <si>
    <t>Farm &amp; Heavy Construction Machinery</t>
  </si>
  <si>
    <t>Real Estate</t>
  </si>
  <si>
    <t>REIT—Specialty</t>
  </si>
  <si>
    <t>REIT—Retail</t>
  </si>
  <si>
    <t>REIT—Diversified</t>
  </si>
  <si>
    <t>REIT—Mortgage</t>
  </si>
  <si>
    <t>Technology</t>
  </si>
  <si>
    <t>Semiconductors</t>
  </si>
  <si>
    <t>Software—Infrastructure</t>
  </si>
  <si>
    <t>Consumer Electronics</t>
  </si>
  <si>
    <t>Information Technology Services</t>
  </si>
  <si>
    <t>Healthcare</t>
  </si>
  <si>
    <t>Drug Manufacturers—General</t>
  </si>
  <si>
    <t>Communication Services</t>
  </si>
  <si>
    <t>Telecom Services</t>
  </si>
  <si>
    <t>Utilities</t>
  </si>
  <si>
    <t>Utilities—Regulated Electric</t>
  </si>
  <si>
    <t>Utilities—Regulated Water</t>
  </si>
  <si>
    <t>Utilities—Regulated Gas</t>
  </si>
  <si>
    <t>Basic Materials</t>
  </si>
  <si>
    <t>Specialty Chemicals</t>
  </si>
  <si>
    <t>TOTAL ALL</t>
  </si>
  <si>
    <t>Q1</t>
  </si>
  <si>
    <t>Q2</t>
  </si>
  <si>
    <t>Q3</t>
  </si>
  <si>
    <t>Q4</t>
  </si>
  <si>
    <t>TOTAL  YEAR</t>
  </si>
  <si>
    <t>Investment rule</t>
  </si>
  <si>
    <t>0 - 0,2</t>
  </si>
  <si>
    <t>0,2 - 0,5</t>
  </si>
  <si>
    <t>0,5 - 1</t>
  </si>
  <si>
    <t>1 - 1,5</t>
  </si>
  <si>
    <t>1,5 - 2</t>
  </si>
  <si>
    <t>&gt; 2</t>
  </si>
  <si>
    <t>Extra Investment</t>
  </si>
  <si>
    <t>Randament Inv</t>
  </si>
  <si>
    <t>Value</t>
  </si>
  <si>
    <t>Share number</t>
  </si>
  <si>
    <t>Investment $</t>
  </si>
  <si>
    <t>Investment Lei</t>
  </si>
  <si>
    <t>Rentabilitate</t>
  </si>
  <si>
    <t>Profit $</t>
  </si>
  <si>
    <t>Profit Lei</t>
  </si>
  <si>
    <t>Profit inv</t>
  </si>
  <si>
    <t>Procent castig</t>
  </si>
  <si>
    <t>2x</t>
  </si>
  <si>
    <t>Q1_exchange</t>
  </si>
  <si>
    <t>Q1_share_price</t>
  </si>
  <si>
    <t>Q2_exchange</t>
  </si>
  <si>
    <t>Q2_share_price</t>
  </si>
  <si>
    <t>Q3_exchange</t>
  </si>
  <si>
    <t>Q3_share_price</t>
  </si>
  <si>
    <t>Q4_exchange</t>
  </si>
  <si>
    <t>Q4_share_price</t>
  </si>
  <si>
    <t>Predicted Profit</t>
  </si>
  <si>
    <t>Total Profit</t>
  </si>
  <si>
    <t>Total Pred.</t>
  </si>
  <si>
    <t>Q1 (ian - mar)</t>
  </si>
  <si>
    <t>Q2 (apr - iun)</t>
  </si>
  <si>
    <t>Q3 (iul - sep)</t>
  </si>
  <si>
    <t>Q4 (oct - dec)</t>
  </si>
  <si>
    <t>Dividend reinv</t>
  </si>
  <si>
    <t>x2</t>
  </si>
  <si>
    <t>2 - 2,5</t>
  </si>
  <si>
    <t>2,5 - 3</t>
  </si>
  <si>
    <t xml:space="preserve"> &gt; 3</t>
  </si>
  <si>
    <t>ZIM</t>
  </si>
  <si>
    <t xml:space="preserve">                     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</si>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</sst>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\ [$lei-418]"/>
    <numFmt numFmtId="165" formatCode="_(* #,##0.00_)\ [$lei-418]_);\(#,##0.00\)\ [$lei-418]_);_(* &quot;-&quot;??_)\ [$lei-418]_);_(@"/>
    <numFmt numFmtId="166" formatCode="[$$]#,##0.00"/>
    <numFmt numFmtId="167" formatCode="[$€]#,##0.00"/>
    <numFmt numFmtId="168" formatCode="[$c$]#,##0.00"/>
    <numFmt numFmtId="169" formatCode="[$p]#,##0.00"/>
    <numFmt numFmtId="170" formatCode="[$£]#,##0.00"/>
  </numFmts>
  <fonts count="4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B7B7B7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  <scheme val="minor"/>
    </font>
    <font>
      <strike/>
      <sz val="10"/>
      <color theme="0"/>
      <name val="Arial"/>
      <scheme val="minor"/>
    </font>
    <font>
      <strike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trike/>
      <sz val="10"/>
      <color rgb="FFFFFFFF"/>
      <name val="Arial"/>
      <scheme val="minor"/>
    </font>
    <font>
      <strike/>
      <sz val="10"/>
      <color rgb="FF000000"/>
      <name val="Arial"/>
      <scheme val="minor"/>
    </font>
    <font>
      <sz val="10"/>
      <color theme="0"/>
      <name val="Arial"/>
      <scheme val="minor"/>
    </font>
    <font>
      <b/>
      <sz val="11"/>
      <color theme="1"/>
      <name val="Inconsolata"/>
    </font>
    <font>
      <b/>
      <sz val="11"/>
      <color rgb="FFF7981D"/>
      <name val="Inconsolata"/>
    </font>
    <font>
      <sz val="11"/>
      <color rgb="FFF7981D"/>
      <name val="Inconsolata"/>
    </font>
    <font>
      <sz val="10"/>
      <color rgb="FFFFFFFF"/>
      <name val="Arial"/>
    </font>
    <font>
      <sz val="10"/>
      <color rgb="FFFFFFFF"/>
      <name val="&quot;Yahoo Sans Finance&quot;"/>
    </font>
    <font>
      <sz val="10"/>
      <color rgb="FF232A31"/>
      <name val="Arial"/>
    </font>
    <font>
      <sz val="10"/>
      <color rgb="FF232A31"/>
      <name val="&quot;Yahoo Sans Finance&quot;"/>
    </font>
    <font>
      <sz val="10"/>
      <color rgb="FF232A31"/>
      <name val="Yahoo Sans Finance"/>
    </font>
    <font>
      <sz val="10"/>
      <color theme="0"/>
      <name val="&quot;Yahoo Sans Finance&quot;"/>
    </font>
    <font>
      <sz val="10"/>
      <color rgb="FF232A31"/>
      <name val="Arial"/>
      <scheme val="minor"/>
    </font>
    <font>
      <sz val="10"/>
      <color theme="1"/>
      <name val="&quot;Yahoo Sans Finance&quot;"/>
    </font>
    <font>
      <b/>
      <i/>
      <sz val="14"/>
      <color theme="1"/>
      <name val="Arial"/>
      <scheme val="minor"/>
    </font>
    <font>
      <sz val="10"/>
      <color theme="1"/>
      <name val="Yahoo Sans Finance"/>
    </font>
    <font>
      <sz val="10"/>
      <color theme="0"/>
      <name val="Arial"/>
    </font>
    <font>
      <sz val="10"/>
      <color theme="0"/>
      <name val="Yahoo Sans Finance"/>
    </font>
    <font>
      <sz val="10"/>
      <color rgb="FF000000"/>
      <name val="Yahoo Sans Finance"/>
    </font>
    <font>
      <sz val="10"/>
      <color rgb="FFFFFFFF"/>
      <name val="Yahoo Sans Finance"/>
    </font>
    <font>
      <b/>
      <i/>
      <u/>
      <sz val="10"/>
      <color theme="1"/>
      <name val="Arial"/>
      <scheme val="minor"/>
    </font>
    <font>
      <b/>
      <sz val="10"/>
      <color rgb="FFFF0000"/>
      <name val="Arial"/>
      <scheme val="minor"/>
    </font>
    <font>
      <b/>
      <sz val="10"/>
      <color rgb="FF6AA84F"/>
      <name val="Arial"/>
      <scheme val="minor"/>
    </font>
    <font>
      <b/>
      <i/>
      <sz val="10"/>
      <color theme="1"/>
      <name val="Arial"/>
      <scheme val="minor"/>
    </font>
    <font>
      <b/>
      <i/>
      <sz val="10"/>
      <color theme="1"/>
      <name val="Arial"/>
    </font>
    <font>
      <b/>
      <sz val="12"/>
      <color theme="1"/>
      <name val="Arial"/>
      <scheme val="minor"/>
    </font>
    <font>
      <b/>
      <sz val="12"/>
      <color theme="1"/>
      <name val="Arial"/>
    </font>
    <font>
      <b/>
      <sz val="12"/>
      <color theme="7"/>
      <name val="Arial"/>
      <scheme val="minor"/>
    </font>
    <font>
      <b/>
      <sz val="12"/>
      <color theme="7"/>
      <name val="Arial"/>
    </font>
    <font>
      <b/>
      <sz val="12"/>
      <color rgb="FFFF0000"/>
      <name val="Arial"/>
      <scheme val="minor"/>
    </font>
    <font>
      <b/>
      <sz val="12"/>
      <color rgb="FFFF0000"/>
      <name val="Arial"/>
    </font>
    <font>
      <b/>
      <sz val="10"/>
      <color theme="1"/>
      <name val="Arial"/>
    </font>
    <font>
      <b/>
      <sz val="10"/>
      <color theme="0"/>
      <name val="Arial"/>
      <scheme val="minor"/>
    </font>
    <font>
      <b/>
      <sz val="12"/>
      <color rgb="FF6AA84F"/>
      <name val="Arial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7F6000"/>
        <bgColor rgb="FF7F6000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5" xfId="0" applyFont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/>
    <xf numFmtId="0" fontId="1" fillId="0" borderId="8" xfId="0" applyFont="1" applyBorder="1"/>
    <xf numFmtId="0" fontId="5" fillId="4" borderId="6" xfId="0" applyFont="1" applyFill="1" applyBorder="1" applyAlignment="1">
      <alignment horizontal="center"/>
    </xf>
    <xf numFmtId="166" fontId="5" fillId="4" borderId="7" xfId="0" applyNumberFormat="1" applyFont="1" applyFill="1" applyBorder="1" applyAlignment="1">
      <alignment horizontal="center"/>
    </xf>
    <xf numFmtId="0" fontId="1" fillId="0" borderId="7" xfId="0" applyFont="1" applyBorder="1" applyAlignment="1"/>
    <xf numFmtId="166" fontId="6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9" xfId="0" applyFont="1" applyBorder="1"/>
    <xf numFmtId="0" fontId="2" fillId="0" borderId="4" xfId="0" applyFont="1" applyBorder="1" applyAlignment="1"/>
    <xf numFmtId="0" fontId="5" fillId="4" borderId="10" xfId="0" applyFont="1" applyFill="1" applyBorder="1" applyAlignment="1">
      <alignment horizontal="center"/>
    </xf>
    <xf numFmtId="166" fontId="5" fillId="4" borderId="0" xfId="0" applyNumberFormat="1" applyFont="1" applyFill="1" applyAlignment="1">
      <alignment horizontal="center"/>
    </xf>
    <xf numFmtId="0" fontId="1" fillId="0" borderId="11" xfId="0" applyFont="1" applyBorder="1"/>
    <xf numFmtId="0" fontId="2" fillId="0" borderId="4" xfId="0" applyFont="1" applyBorder="1" applyAlignment="1">
      <alignment horizontal="center"/>
    </xf>
    <xf numFmtId="167" fontId="5" fillId="4" borderId="0" xfId="0" applyNumberFormat="1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0" fontId="5" fillId="5" borderId="10" xfId="0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0" fontId="7" fillId="6" borderId="10" xfId="0" applyFont="1" applyFill="1" applyBorder="1" applyAlignment="1">
      <alignment horizontal="center"/>
    </xf>
    <xf numFmtId="166" fontId="8" fillId="6" borderId="0" xfId="0" applyNumberFormat="1" applyFont="1" applyFill="1" applyAlignment="1">
      <alignment horizontal="center"/>
    </xf>
    <xf numFmtId="0" fontId="8" fillId="6" borderId="0" xfId="0" applyFont="1" applyFill="1" applyAlignment="1"/>
    <xf numFmtId="2" fontId="8" fillId="6" borderId="0" xfId="0" applyNumberFormat="1" applyFont="1" applyFill="1"/>
    <xf numFmtId="0" fontId="8" fillId="6" borderId="11" xfId="0" applyFont="1" applyFill="1" applyBorder="1" applyAlignment="1"/>
    <xf numFmtId="0" fontId="8" fillId="0" borderId="0" xfId="0" applyFont="1"/>
    <xf numFmtId="0" fontId="1" fillId="7" borderId="10" xfId="0" applyFont="1" applyFill="1" applyBorder="1" applyAlignment="1">
      <alignment horizontal="center"/>
    </xf>
    <xf numFmtId="166" fontId="1" fillId="7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168" fontId="9" fillId="7" borderId="0" xfId="0" applyNumberFormat="1" applyFont="1" applyFill="1" applyAlignment="1">
      <alignment horizontal="center"/>
    </xf>
    <xf numFmtId="168" fontId="10" fillId="0" borderId="0" xfId="0" applyNumberFormat="1" applyFont="1" applyAlignment="1">
      <alignment horizontal="center"/>
    </xf>
    <xf numFmtId="0" fontId="11" fillId="6" borderId="10" xfId="0" applyFont="1" applyFill="1" applyBorder="1" applyAlignment="1">
      <alignment horizontal="center"/>
    </xf>
    <xf numFmtId="169" fontId="8" fillId="6" borderId="0" xfId="0" applyNumberFormat="1" applyFont="1" applyFill="1" applyAlignment="1">
      <alignment horizontal="center"/>
    </xf>
    <xf numFmtId="0" fontId="8" fillId="6" borderId="0" xfId="0" applyFont="1" applyFill="1"/>
    <xf numFmtId="169" fontId="12" fillId="6" borderId="0" xfId="0" applyNumberFormat="1" applyFont="1" applyFill="1" applyAlignment="1">
      <alignment horizontal="center"/>
    </xf>
    <xf numFmtId="0" fontId="1" fillId="8" borderId="10" xfId="0" applyFont="1" applyFill="1" applyBorder="1" applyAlignment="1">
      <alignment horizontal="center"/>
    </xf>
    <xf numFmtId="166" fontId="1" fillId="8" borderId="0" xfId="0" applyNumberFormat="1" applyFont="1" applyFill="1" applyAlignment="1">
      <alignment horizontal="center"/>
    </xf>
    <xf numFmtId="169" fontId="1" fillId="8" borderId="0" xfId="0" applyNumberFormat="1" applyFont="1" applyFill="1" applyAlignment="1">
      <alignment horizontal="center"/>
    </xf>
    <xf numFmtId="169" fontId="6" fillId="0" borderId="0" xfId="0" applyNumberFormat="1" applyFont="1" applyAlignment="1">
      <alignment horizontal="center"/>
    </xf>
    <xf numFmtId="0" fontId="1" fillId="9" borderId="10" xfId="0" applyFont="1" applyFill="1" applyBorder="1" applyAlignment="1">
      <alignment horizontal="center"/>
    </xf>
    <xf numFmtId="166" fontId="1" fillId="9" borderId="0" xfId="0" applyNumberFormat="1" applyFont="1" applyFill="1" applyAlignment="1">
      <alignment horizontal="center"/>
    </xf>
    <xf numFmtId="166" fontId="12" fillId="6" borderId="0" xfId="0" applyNumberFormat="1" applyFont="1" applyFill="1" applyAlignment="1">
      <alignment horizontal="center"/>
    </xf>
    <xf numFmtId="0" fontId="1" fillId="10" borderId="10" xfId="0" applyFont="1" applyFill="1" applyBorder="1" applyAlignment="1">
      <alignment horizontal="center"/>
    </xf>
    <xf numFmtId="166" fontId="1" fillId="10" borderId="0" xfId="0" applyNumberFormat="1" applyFont="1" applyFill="1" applyAlignment="1">
      <alignment horizontal="center"/>
    </xf>
    <xf numFmtId="0" fontId="1" fillId="11" borderId="10" xfId="0" applyFont="1" applyFill="1" applyBorder="1" applyAlignment="1">
      <alignment horizontal="center"/>
    </xf>
    <xf numFmtId="166" fontId="1" fillId="11" borderId="0" xfId="0" applyNumberFormat="1" applyFont="1" applyFill="1" applyAlignment="1">
      <alignment horizontal="center"/>
    </xf>
    <xf numFmtId="0" fontId="13" fillId="12" borderId="10" xfId="0" applyFont="1" applyFill="1" applyBorder="1" applyAlignment="1">
      <alignment horizontal="center"/>
    </xf>
    <xf numFmtId="166" fontId="13" fillId="12" borderId="0" xfId="0" applyNumberFormat="1" applyFont="1" applyFill="1" applyAlignment="1">
      <alignment horizontal="center"/>
    </xf>
    <xf numFmtId="0" fontId="5" fillId="12" borderId="10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6" fontId="13" fillId="13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6" fontId="1" fillId="14" borderId="0" xfId="0" applyNumberFormat="1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166" fontId="1" fillId="15" borderId="1" xfId="0" applyNumberFormat="1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1" fillId="0" borderId="12" xfId="0" applyFont="1" applyBorder="1"/>
    <xf numFmtId="0" fontId="2" fillId="0" borderId="9" xfId="0" applyFont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16" borderId="0" xfId="0" applyFont="1" applyFill="1"/>
    <xf numFmtId="0" fontId="14" fillId="3" borderId="10" xfId="0" applyFont="1" applyFill="1" applyBorder="1" applyAlignment="1">
      <alignment horizontal="center"/>
    </xf>
    <xf numFmtId="0" fontId="14" fillId="16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6" fillId="3" borderId="0" xfId="0" applyFont="1" applyFill="1"/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4" fontId="2" fillId="3" borderId="7" xfId="0" applyNumberFormat="1" applyFont="1" applyFill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165" fontId="5" fillId="4" borderId="6" xfId="0" applyNumberFormat="1" applyFont="1" applyFill="1" applyBorder="1" applyAlignment="1">
      <alignment horizontal="center"/>
    </xf>
    <xf numFmtId="10" fontId="5" fillId="4" borderId="7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4" fontId="5" fillId="4" borderId="7" xfId="0" applyNumberFormat="1" applyFont="1" applyFill="1" applyBorder="1" applyAlignment="1">
      <alignment horizontal="center"/>
    </xf>
    <xf numFmtId="166" fontId="5" fillId="4" borderId="7" xfId="0" applyNumberFormat="1" applyFont="1" applyFill="1" applyBorder="1" applyAlignment="1">
      <alignment horizontal="center"/>
    </xf>
    <xf numFmtId="4" fontId="5" fillId="4" borderId="0" xfId="0" applyNumberFormat="1" applyFont="1" applyFill="1" applyAlignment="1">
      <alignment horizontal="center"/>
    </xf>
    <xf numFmtId="166" fontId="5" fillId="4" borderId="8" xfId="0" applyNumberFormat="1" applyFont="1" applyFill="1" applyBorder="1" applyAlignment="1">
      <alignment horizontal="center"/>
    </xf>
    <xf numFmtId="0" fontId="17" fillId="4" borderId="0" xfId="0" applyFont="1" applyFill="1" applyAlignment="1"/>
    <xf numFmtId="0" fontId="5" fillId="4" borderId="8" xfId="0" applyFont="1" applyFill="1" applyBorder="1" applyAlignment="1"/>
    <xf numFmtId="0" fontId="5" fillId="0" borderId="0" xfId="0" applyFont="1"/>
    <xf numFmtId="0" fontId="5" fillId="4" borderId="0" xfId="0" applyFont="1" applyFill="1" applyAlignment="1">
      <alignment horizontal="center"/>
    </xf>
    <xf numFmtId="166" fontId="5" fillId="4" borderId="0" xfId="0" applyNumberFormat="1" applyFont="1" applyFill="1" applyAlignment="1">
      <alignment horizontal="center"/>
    </xf>
    <xf numFmtId="0" fontId="18" fillId="4" borderId="0" xfId="0" applyFont="1" applyFill="1" applyAlignment="1"/>
    <xf numFmtId="0" fontId="17" fillId="4" borderId="8" xfId="0" applyFont="1" applyFill="1" applyBorder="1" applyAlignment="1"/>
    <xf numFmtId="167" fontId="5" fillId="4" borderId="0" xfId="0" applyNumberFormat="1" applyFont="1" applyFill="1" applyAlignment="1">
      <alignment horizontal="center"/>
    </xf>
    <xf numFmtId="167" fontId="5" fillId="4" borderId="8" xfId="0" applyNumberFormat="1" applyFont="1" applyFill="1" applyBorder="1" applyAlignment="1">
      <alignment horizontal="center"/>
    </xf>
    <xf numFmtId="165" fontId="5" fillId="5" borderId="10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4" fontId="5" fillId="5" borderId="0" xfId="0" applyNumberFormat="1" applyFont="1" applyFill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5" fillId="5" borderId="8" xfId="0" applyNumberFormat="1" applyFont="1" applyFill="1" applyBorder="1" applyAlignment="1">
      <alignment horizontal="center"/>
    </xf>
    <xf numFmtId="0" fontId="17" fillId="5" borderId="0" xfId="0" applyFont="1" applyFill="1" applyAlignment="1"/>
    <xf numFmtId="0" fontId="5" fillId="5" borderId="8" xfId="0" applyFont="1" applyFill="1" applyBorder="1" applyAlignment="1"/>
    <xf numFmtId="0" fontId="18" fillId="5" borderId="0" xfId="0" applyFont="1" applyFill="1" applyAlignment="1"/>
    <xf numFmtId="0" fontId="5" fillId="5" borderId="8" xfId="0" applyFont="1" applyFill="1" applyBorder="1" applyAlignment="1">
      <alignment horizontal="right"/>
    </xf>
    <xf numFmtId="0" fontId="5" fillId="0" borderId="0" xfId="0" applyFont="1" applyAlignment="1"/>
    <xf numFmtId="165" fontId="1" fillId="7" borderId="10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4" fontId="1" fillId="7" borderId="0" xfId="0" applyNumberFormat="1" applyFont="1" applyFill="1" applyAlignment="1">
      <alignment horizontal="center"/>
    </xf>
    <xf numFmtId="166" fontId="1" fillId="7" borderId="0" xfId="0" applyNumberFormat="1" applyFont="1" applyFill="1" applyAlignment="1">
      <alignment horizontal="center"/>
    </xf>
    <xf numFmtId="166" fontId="1" fillId="7" borderId="8" xfId="0" applyNumberFormat="1" applyFont="1" applyFill="1" applyBorder="1" applyAlignment="1">
      <alignment horizontal="center"/>
    </xf>
    <xf numFmtId="0" fontId="19" fillId="7" borderId="0" xfId="0" applyFont="1" applyFill="1" applyAlignment="1"/>
    <xf numFmtId="0" fontId="1" fillId="7" borderId="8" xfId="0" applyFont="1" applyFill="1" applyBorder="1" applyAlignment="1"/>
    <xf numFmtId="0" fontId="20" fillId="7" borderId="0" xfId="0" applyFont="1" applyFill="1" applyAlignment="1"/>
    <xf numFmtId="0" fontId="9" fillId="0" borderId="8" xfId="0" applyFont="1" applyBorder="1" applyAlignment="1"/>
    <xf numFmtId="0" fontId="9" fillId="7" borderId="0" xfId="0" applyFont="1" applyFill="1" applyAlignment="1">
      <alignment horizontal="center"/>
    </xf>
    <xf numFmtId="4" fontId="9" fillId="7" borderId="0" xfId="0" applyNumberFormat="1" applyFont="1" applyFill="1" applyAlignment="1">
      <alignment horizontal="center"/>
    </xf>
    <xf numFmtId="0" fontId="21" fillId="7" borderId="0" xfId="0" applyFont="1" applyFill="1" applyAlignment="1"/>
    <xf numFmtId="0" fontId="9" fillId="7" borderId="8" xfId="0" applyFont="1" applyFill="1" applyBorder="1" applyAlignment="1"/>
    <xf numFmtId="0" fontId="9" fillId="0" borderId="0" xfId="0" applyFont="1" applyAlignment="1"/>
    <xf numFmtId="169" fontId="1" fillId="7" borderId="0" xfId="0" applyNumberFormat="1" applyFont="1" applyFill="1" applyAlignment="1">
      <alignment horizontal="center"/>
    </xf>
    <xf numFmtId="170" fontId="1" fillId="7" borderId="0" xfId="0" applyNumberFormat="1" applyFont="1" applyFill="1" applyAlignment="1">
      <alignment horizontal="center"/>
    </xf>
    <xf numFmtId="170" fontId="1" fillId="7" borderId="0" xfId="0" applyNumberFormat="1" applyFont="1" applyFill="1" applyAlignment="1">
      <alignment horizontal="center"/>
    </xf>
    <xf numFmtId="170" fontId="1" fillId="7" borderId="8" xfId="0" applyNumberFormat="1" applyFont="1" applyFill="1" applyBorder="1" applyAlignment="1">
      <alignment horizontal="center"/>
    </xf>
    <xf numFmtId="165" fontId="6" fillId="8" borderId="10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4" fontId="1" fillId="8" borderId="0" xfId="0" applyNumberFormat="1" applyFont="1" applyFill="1" applyAlignment="1">
      <alignment horizontal="center"/>
    </xf>
    <xf numFmtId="166" fontId="1" fillId="8" borderId="0" xfId="0" applyNumberFormat="1" applyFont="1" applyFill="1" applyAlignment="1">
      <alignment horizontal="center"/>
    </xf>
    <xf numFmtId="166" fontId="1" fillId="8" borderId="8" xfId="0" applyNumberFormat="1" applyFont="1" applyFill="1" applyBorder="1" applyAlignment="1">
      <alignment horizontal="center"/>
    </xf>
    <xf numFmtId="0" fontId="19" fillId="8" borderId="0" xfId="0" applyFont="1" applyFill="1" applyAlignment="1"/>
    <xf numFmtId="0" fontId="1" fillId="8" borderId="8" xfId="0" applyFont="1" applyFill="1" applyBorder="1" applyAlignment="1"/>
    <xf numFmtId="170" fontId="1" fillId="8" borderId="0" xfId="0" applyNumberFormat="1" applyFont="1" applyFill="1" applyAlignment="1">
      <alignment horizontal="center"/>
    </xf>
    <xf numFmtId="170" fontId="1" fillId="8" borderId="8" xfId="0" applyNumberFormat="1" applyFont="1" applyFill="1" applyBorder="1" applyAlignment="1">
      <alignment horizontal="center"/>
    </xf>
    <xf numFmtId="0" fontId="20" fillId="8" borderId="0" xfId="0" applyFont="1" applyFill="1" applyAlignment="1"/>
    <xf numFmtId="165" fontId="6" fillId="9" borderId="10" xfId="0" applyNumberFormat="1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4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166" fontId="1" fillId="9" borderId="8" xfId="0" applyNumberFormat="1" applyFont="1" applyFill="1" applyBorder="1" applyAlignment="1">
      <alignment horizontal="center"/>
    </xf>
    <xf numFmtId="0" fontId="19" fillId="9" borderId="0" xfId="0" applyFont="1" applyFill="1" applyAlignment="1"/>
    <xf numFmtId="0" fontId="1" fillId="9" borderId="8" xfId="0" applyFont="1" applyFill="1" applyBorder="1" applyAlignment="1"/>
    <xf numFmtId="0" fontId="20" fillId="9" borderId="0" xfId="0" applyFont="1" applyFill="1" applyAlignment="1"/>
    <xf numFmtId="165" fontId="6" fillId="10" borderId="10" xfId="0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4" fontId="1" fillId="10" borderId="0" xfId="0" applyNumberFormat="1" applyFont="1" applyFill="1" applyAlignment="1">
      <alignment horizontal="center"/>
    </xf>
    <xf numFmtId="166" fontId="6" fillId="10" borderId="0" xfId="0" applyNumberFormat="1" applyFont="1" applyFill="1" applyAlignment="1">
      <alignment horizontal="center"/>
    </xf>
    <xf numFmtId="166" fontId="1" fillId="10" borderId="8" xfId="0" applyNumberFormat="1" applyFont="1" applyFill="1" applyBorder="1" applyAlignment="1">
      <alignment horizontal="center"/>
    </xf>
    <xf numFmtId="0" fontId="19" fillId="10" borderId="0" xfId="0" applyFont="1" applyFill="1" applyAlignment="1"/>
    <xf numFmtId="0" fontId="1" fillId="10" borderId="8" xfId="0" applyFont="1" applyFill="1" applyBorder="1" applyAlignment="1"/>
    <xf numFmtId="0" fontId="20" fillId="10" borderId="0" xfId="0" applyFont="1" applyFill="1" applyAlignment="1"/>
    <xf numFmtId="165" fontId="6" fillId="11" borderId="10" xfId="0" applyNumberFormat="1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4" fontId="1" fillId="11" borderId="0" xfId="0" applyNumberFormat="1" applyFont="1" applyFill="1" applyAlignment="1">
      <alignment horizontal="center"/>
    </xf>
    <xf numFmtId="166" fontId="6" fillId="11" borderId="0" xfId="0" applyNumberFormat="1" applyFont="1" applyFill="1" applyAlignment="1">
      <alignment horizontal="center"/>
    </xf>
    <xf numFmtId="166" fontId="1" fillId="11" borderId="8" xfId="0" applyNumberFormat="1" applyFont="1" applyFill="1" applyBorder="1" applyAlignment="1">
      <alignment horizontal="center"/>
    </xf>
    <xf numFmtId="0" fontId="19" fillId="11" borderId="0" xfId="0" applyFont="1" applyFill="1" applyAlignment="1"/>
    <xf numFmtId="0" fontId="1" fillId="11" borderId="8" xfId="0" applyFont="1" applyFill="1" applyBorder="1" applyAlignment="1"/>
    <xf numFmtId="0" fontId="20" fillId="11" borderId="0" xfId="0" applyFont="1" applyFill="1" applyAlignment="1"/>
    <xf numFmtId="165" fontId="5" fillId="12" borderId="10" xfId="0" applyNumberFormat="1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4" fontId="13" fillId="12" borderId="0" xfId="0" applyNumberFormat="1" applyFont="1" applyFill="1" applyAlignment="1">
      <alignment horizontal="center"/>
    </xf>
    <xf numFmtId="166" fontId="5" fillId="12" borderId="0" xfId="0" applyNumberFormat="1" applyFont="1" applyFill="1" applyAlignment="1">
      <alignment horizontal="center"/>
    </xf>
    <xf numFmtId="4" fontId="5" fillId="12" borderId="0" xfId="0" applyNumberFormat="1" applyFont="1" applyFill="1" applyAlignment="1">
      <alignment horizontal="center"/>
    </xf>
    <xf numFmtId="166" fontId="5" fillId="12" borderId="0" xfId="0" applyNumberFormat="1" applyFont="1" applyFill="1" applyAlignment="1">
      <alignment horizontal="center"/>
    </xf>
    <xf numFmtId="166" fontId="13" fillId="12" borderId="8" xfId="0" applyNumberFormat="1" applyFont="1" applyFill="1" applyBorder="1" applyAlignment="1">
      <alignment horizontal="center"/>
    </xf>
    <xf numFmtId="166" fontId="5" fillId="12" borderId="8" xfId="0" applyNumberFormat="1" applyFont="1" applyFill="1" applyBorder="1" applyAlignment="1">
      <alignment horizontal="left"/>
    </xf>
    <xf numFmtId="0" fontId="5" fillId="12" borderId="8" xfId="0" applyFont="1" applyFill="1" applyBorder="1" applyAlignment="1"/>
    <xf numFmtId="166" fontId="13" fillId="12" borderId="8" xfId="0" applyNumberFormat="1" applyFont="1" applyFill="1" applyBorder="1" applyAlignment="1">
      <alignment horizontal="left"/>
    </xf>
    <xf numFmtId="165" fontId="5" fillId="13" borderId="10" xfId="0" applyNumberFormat="1" applyFont="1" applyFill="1" applyBorder="1" applyAlignment="1">
      <alignment horizontal="center"/>
    </xf>
    <xf numFmtId="4" fontId="13" fillId="13" borderId="0" xfId="0" applyNumberFormat="1" applyFont="1" applyFill="1" applyAlignment="1">
      <alignment horizontal="center"/>
    </xf>
    <xf numFmtId="166" fontId="5" fillId="13" borderId="0" xfId="0" applyNumberFormat="1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4" fontId="5" fillId="13" borderId="0" xfId="0" applyNumberFormat="1" applyFont="1" applyFill="1" applyAlignment="1">
      <alignment horizontal="center"/>
    </xf>
    <xf numFmtId="166" fontId="5" fillId="13" borderId="0" xfId="0" applyNumberFormat="1" applyFont="1" applyFill="1" applyAlignment="1">
      <alignment horizontal="center"/>
    </xf>
    <xf numFmtId="166" fontId="13" fillId="13" borderId="8" xfId="0" applyNumberFormat="1" applyFont="1" applyFill="1" applyBorder="1" applyAlignment="1">
      <alignment horizontal="center"/>
    </xf>
    <xf numFmtId="166" fontId="17" fillId="13" borderId="0" xfId="0" applyNumberFormat="1" applyFont="1" applyFill="1" applyAlignment="1"/>
    <xf numFmtId="0" fontId="13" fillId="13" borderId="8" xfId="0" applyFont="1" applyFill="1" applyBorder="1" applyAlignment="1"/>
    <xf numFmtId="166" fontId="22" fillId="13" borderId="0" xfId="0" applyNumberFormat="1" applyFont="1" applyFill="1" applyAlignment="1"/>
    <xf numFmtId="0" fontId="5" fillId="13" borderId="0" xfId="0" applyFont="1" applyFill="1" applyAlignment="1"/>
    <xf numFmtId="165" fontId="6" fillId="14" borderId="10" xfId="0" applyNumberFormat="1" applyFont="1" applyFill="1" applyBorder="1" applyAlignment="1">
      <alignment horizontal="center"/>
    </xf>
    <xf numFmtId="4" fontId="1" fillId="14" borderId="0" xfId="0" applyNumberFormat="1" applyFont="1" applyFill="1" applyAlignment="1">
      <alignment horizontal="center"/>
    </xf>
    <xf numFmtId="166" fontId="23" fillId="14" borderId="0" xfId="0" applyNumberFormat="1" applyFont="1" applyFill="1" applyAlignment="1">
      <alignment horizontal="center"/>
    </xf>
    <xf numFmtId="4" fontId="9" fillId="14" borderId="0" xfId="0" applyNumberFormat="1" applyFont="1" applyFill="1" applyAlignment="1">
      <alignment horizontal="center"/>
    </xf>
    <xf numFmtId="166" fontId="9" fillId="14" borderId="0" xfId="0" applyNumberFormat="1" applyFont="1" applyFill="1" applyAlignment="1">
      <alignment horizontal="center"/>
    </xf>
    <xf numFmtId="166" fontId="9" fillId="14" borderId="8" xfId="0" applyNumberFormat="1" applyFont="1" applyFill="1" applyBorder="1" applyAlignment="1">
      <alignment horizontal="center"/>
    </xf>
    <xf numFmtId="166" fontId="9" fillId="14" borderId="0" xfId="0" applyNumberFormat="1" applyFont="1" applyFill="1" applyAlignment="1"/>
    <xf numFmtId="0" fontId="9" fillId="14" borderId="0" xfId="0" applyFont="1" applyFill="1" applyAlignment="1">
      <alignment horizontal="right"/>
    </xf>
    <xf numFmtId="0" fontId="9" fillId="0" borderId="0" xfId="0" applyFont="1" applyAlignment="1"/>
    <xf numFmtId="166" fontId="24" fillId="14" borderId="0" xfId="0" applyNumberFormat="1" applyFont="1" applyFill="1" applyAlignment="1"/>
    <xf numFmtId="165" fontId="6" fillId="15" borderId="10" xfId="0" applyNumberFormat="1" applyFont="1" applyFill="1" applyBorder="1" applyAlignment="1">
      <alignment horizontal="center"/>
    </xf>
    <xf numFmtId="0" fontId="9" fillId="15" borderId="0" xfId="0" applyFont="1" applyFill="1" applyAlignment="1">
      <alignment horizontal="center"/>
    </xf>
    <xf numFmtId="166" fontId="1" fillId="15" borderId="0" xfId="0" applyNumberFormat="1" applyFont="1" applyFill="1" applyAlignment="1">
      <alignment horizontal="center"/>
    </xf>
    <xf numFmtId="4" fontId="1" fillId="15" borderId="0" xfId="0" applyNumberFormat="1" applyFont="1" applyFill="1" applyAlignment="1">
      <alignment horizontal="center"/>
    </xf>
    <xf numFmtId="166" fontId="9" fillId="15" borderId="0" xfId="0" applyNumberFormat="1" applyFont="1" applyFill="1" applyAlignment="1">
      <alignment horizontal="center"/>
    </xf>
    <xf numFmtId="4" fontId="23" fillId="15" borderId="0" xfId="0" applyNumberFormat="1" applyFont="1" applyFill="1" applyAlignment="1">
      <alignment horizontal="center"/>
    </xf>
    <xf numFmtId="166" fontId="9" fillId="15" borderId="8" xfId="0" applyNumberFormat="1" applyFont="1" applyFill="1" applyBorder="1" applyAlignment="1">
      <alignment horizontal="center"/>
    </xf>
    <xf numFmtId="166" fontId="19" fillId="15" borderId="0" xfId="0" applyNumberFormat="1" applyFont="1" applyFill="1" applyAlignment="1"/>
    <xf numFmtId="166" fontId="20" fillId="15" borderId="0" xfId="0" applyNumberFormat="1" applyFont="1" applyFill="1" applyAlignment="1"/>
    <xf numFmtId="0" fontId="9" fillId="15" borderId="0" xfId="0" applyFont="1" applyFill="1" applyAlignment="1">
      <alignment horizontal="right"/>
    </xf>
    <xf numFmtId="4" fontId="2" fillId="3" borderId="3" xfId="0" applyNumberFormat="1" applyFont="1" applyFill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169" fontId="1" fillId="8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1" fillId="0" borderId="7" xfId="0" applyFont="1" applyBorder="1"/>
    <xf numFmtId="0" fontId="1" fillId="0" borderId="14" xfId="0" applyFont="1" applyBorder="1"/>
    <xf numFmtId="0" fontId="2" fillId="0" borderId="9" xfId="0" applyFont="1" applyBorder="1" applyAlignment="1"/>
    <xf numFmtId="0" fontId="1" fillId="0" borderId="6" xfId="0" applyFont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17" borderId="14" xfId="0" applyFont="1" applyFill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2" fontId="2" fillId="0" borderId="0" xfId="0" applyNumberFormat="1" applyFont="1" applyAlignment="1"/>
    <xf numFmtId="0" fontId="25" fillId="0" borderId="5" xfId="0" applyFont="1" applyBorder="1" applyAlignment="1"/>
    <xf numFmtId="49" fontId="2" fillId="0" borderId="3" xfId="0" applyNumberFormat="1" applyFont="1" applyBorder="1" applyAlignment="1">
      <alignment horizontal="center"/>
    </xf>
    <xf numFmtId="0" fontId="9" fillId="24" borderId="0" xfId="0" applyFont="1" applyFill="1" applyAlignment="1"/>
    <xf numFmtId="0" fontId="9" fillId="10" borderId="0" xfId="0" applyFont="1" applyFill="1" applyAlignment="1">
      <alignment horizontal="center"/>
    </xf>
    <xf numFmtId="166" fontId="9" fillId="10" borderId="0" xfId="0" applyNumberFormat="1" applyFont="1" applyFill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4" fontId="9" fillId="10" borderId="0" xfId="0" applyNumberFormat="1" applyFont="1" applyFill="1" applyAlignment="1">
      <alignment horizontal="center"/>
    </xf>
    <xf numFmtId="165" fontId="9" fillId="10" borderId="8" xfId="0" applyNumberFormat="1" applyFont="1" applyFill="1" applyBorder="1" applyAlignment="1">
      <alignment horizontal="center"/>
    </xf>
    <xf numFmtId="165" fontId="9" fillId="10" borderId="0" xfId="0" applyNumberFormat="1" applyFont="1" applyFill="1" applyAlignment="1">
      <alignment horizontal="center"/>
    </xf>
    <xf numFmtId="10" fontId="10" fillId="10" borderId="0" xfId="0" applyNumberFormat="1" applyFont="1" applyFill="1" applyAlignment="1">
      <alignment horizontal="center"/>
    </xf>
    <xf numFmtId="0" fontId="26" fillId="10" borderId="8" xfId="0" applyFont="1" applyFill="1" applyBorder="1" applyAlignment="1"/>
    <xf numFmtId="0" fontId="9" fillId="10" borderId="8" xfId="0" applyFont="1" applyFill="1" applyBorder="1" applyAlignment="1">
      <alignment horizontal="right"/>
    </xf>
    <xf numFmtId="10" fontId="1" fillId="0" borderId="0" xfId="0" applyNumberFormat="1" applyFont="1" applyAlignment="1"/>
    <xf numFmtId="0" fontId="27" fillId="4" borderId="0" xfId="0" applyFont="1" applyFill="1" applyAlignment="1">
      <alignment horizontal="center"/>
    </xf>
    <xf numFmtId="166" fontId="27" fillId="4" borderId="0" xfId="0" applyNumberFormat="1" applyFont="1" applyFill="1" applyAlignment="1">
      <alignment horizontal="center"/>
    </xf>
    <xf numFmtId="49" fontId="27" fillId="4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4" fontId="27" fillId="4" borderId="0" xfId="0" applyNumberFormat="1" applyFont="1" applyFill="1" applyAlignment="1">
      <alignment horizontal="center"/>
    </xf>
    <xf numFmtId="165" fontId="27" fillId="4" borderId="8" xfId="0" applyNumberFormat="1" applyFont="1" applyFill="1" applyBorder="1" applyAlignment="1">
      <alignment horizontal="center"/>
    </xf>
    <xf numFmtId="165" fontId="27" fillId="4" borderId="0" xfId="0" applyNumberFormat="1" applyFont="1" applyFill="1" applyAlignment="1">
      <alignment horizontal="center"/>
    </xf>
    <xf numFmtId="10" fontId="27" fillId="4" borderId="0" xfId="0" applyNumberFormat="1" applyFont="1" applyFill="1" applyAlignment="1">
      <alignment horizontal="center"/>
    </xf>
    <xf numFmtId="0" fontId="28" fillId="4" borderId="8" xfId="0" applyFont="1" applyFill="1" applyBorder="1" applyAlignment="1"/>
    <xf numFmtId="0" fontId="27" fillId="4" borderId="8" xfId="0" applyFont="1" applyFill="1" applyBorder="1" applyAlignment="1">
      <alignment horizontal="right"/>
    </xf>
    <xf numFmtId="0" fontId="27" fillId="5" borderId="0" xfId="0" applyFont="1" applyFill="1" applyAlignment="1">
      <alignment horizontal="center"/>
    </xf>
    <xf numFmtId="166" fontId="27" fillId="5" borderId="0" xfId="0" applyNumberFormat="1" applyFont="1" applyFill="1" applyAlignment="1">
      <alignment horizontal="center"/>
    </xf>
    <xf numFmtId="49" fontId="2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4" fontId="27" fillId="5" borderId="0" xfId="0" applyNumberFormat="1" applyFont="1" applyFill="1" applyAlignment="1">
      <alignment horizontal="center"/>
    </xf>
    <xf numFmtId="165" fontId="27" fillId="5" borderId="8" xfId="0" applyNumberFormat="1" applyFont="1" applyFill="1" applyBorder="1" applyAlignment="1">
      <alignment horizontal="center"/>
    </xf>
    <xf numFmtId="165" fontId="27" fillId="5" borderId="0" xfId="0" applyNumberFormat="1" applyFont="1" applyFill="1" applyAlignment="1">
      <alignment horizontal="center"/>
    </xf>
    <xf numFmtId="10" fontId="27" fillId="5" borderId="0" xfId="0" applyNumberFormat="1" applyFont="1" applyFill="1" applyAlignment="1">
      <alignment horizontal="center"/>
    </xf>
    <xf numFmtId="0" fontId="28" fillId="5" borderId="8" xfId="0" applyFont="1" applyFill="1" applyBorder="1" applyAlignment="1"/>
    <xf numFmtId="0" fontId="27" fillId="5" borderId="8" xfId="0" applyFont="1" applyFill="1" applyBorder="1" applyAlignment="1">
      <alignment horizontal="right"/>
    </xf>
    <xf numFmtId="0" fontId="10" fillId="7" borderId="0" xfId="0" applyFont="1" applyFill="1" applyAlignment="1">
      <alignment horizontal="center"/>
    </xf>
    <xf numFmtId="166" fontId="10" fillId="7" borderId="0" xfId="0" applyNumberFormat="1" applyFont="1" applyFill="1" applyAlignment="1">
      <alignment horizontal="center"/>
    </xf>
    <xf numFmtId="49" fontId="10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4" fontId="10" fillId="7" borderId="0" xfId="0" applyNumberFormat="1" applyFont="1" applyFill="1" applyAlignment="1">
      <alignment horizontal="center"/>
    </xf>
    <xf numFmtId="165" fontId="10" fillId="7" borderId="8" xfId="0" applyNumberFormat="1" applyFont="1" applyFill="1" applyBorder="1" applyAlignment="1">
      <alignment horizontal="center"/>
    </xf>
    <xf numFmtId="165" fontId="10" fillId="7" borderId="0" xfId="0" applyNumberFormat="1" applyFont="1" applyFill="1" applyAlignment="1">
      <alignment horizontal="center"/>
    </xf>
    <xf numFmtId="10" fontId="10" fillId="7" borderId="0" xfId="0" applyNumberFormat="1" applyFont="1" applyFill="1" applyAlignment="1">
      <alignment horizontal="center"/>
    </xf>
    <xf numFmtId="0" fontId="29" fillId="7" borderId="8" xfId="0" applyFont="1" applyFill="1" applyBorder="1" applyAlignment="1"/>
    <xf numFmtId="0" fontId="10" fillId="7" borderId="8" xfId="0" applyFont="1" applyFill="1" applyBorder="1" applyAlignment="1">
      <alignment horizontal="right"/>
    </xf>
    <xf numFmtId="0" fontId="10" fillId="10" borderId="0" xfId="0" applyFont="1" applyFill="1" applyAlignment="1">
      <alignment horizontal="center"/>
    </xf>
    <xf numFmtId="166" fontId="10" fillId="10" borderId="0" xfId="0" applyNumberFormat="1" applyFont="1" applyFill="1" applyAlignment="1">
      <alignment horizontal="center"/>
    </xf>
    <xf numFmtId="49" fontId="10" fillId="10" borderId="0" xfId="0" applyNumberFormat="1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4" fontId="10" fillId="10" borderId="0" xfId="0" applyNumberFormat="1" applyFont="1" applyFill="1" applyAlignment="1">
      <alignment horizontal="center"/>
    </xf>
    <xf numFmtId="165" fontId="10" fillId="10" borderId="8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0" fontId="29" fillId="10" borderId="8" xfId="0" applyFont="1" applyFill="1" applyBorder="1" applyAlignment="1"/>
    <xf numFmtId="0" fontId="10" fillId="10" borderId="8" xfId="0" applyFont="1" applyFill="1" applyBorder="1" applyAlignment="1">
      <alignment horizontal="right"/>
    </xf>
    <xf numFmtId="165" fontId="9" fillId="10" borderId="8" xfId="0" applyNumberFormat="1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166" fontId="17" fillId="5" borderId="0" xfId="0" applyNumberFormat="1" applyFont="1" applyFill="1" applyAlignment="1">
      <alignment horizontal="center"/>
    </xf>
    <xf numFmtId="49" fontId="17" fillId="5" borderId="0" xfId="0" applyNumberFormat="1" applyFont="1" applyFill="1" applyAlignment="1">
      <alignment horizontal="center"/>
    </xf>
    <xf numFmtId="4" fontId="17" fillId="5" borderId="0" xfId="0" applyNumberFormat="1" applyFont="1" applyFill="1" applyAlignment="1">
      <alignment horizontal="center"/>
    </xf>
    <xf numFmtId="165" fontId="17" fillId="5" borderId="8" xfId="0" applyNumberFormat="1" applyFont="1" applyFill="1" applyBorder="1" applyAlignment="1">
      <alignment horizontal="center"/>
    </xf>
    <xf numFmtId="165" fontId="17" fillId="5" borderId="0" xfId="0" applyNumberFormat="1" applyFont="1" applyFill="1" applyAlignment="1">
      <alignment horizontal="center"/>
    </xf>
    <xf numFmtId="0" fontId="30" fillId="5" borderId="8" xfId="0" applyFont="1" applyFill="1" applyBorder="1" applyAlignment="1"/>
    <xf numFmtId="0" fontId="17" fillId="5" borderId="8" xfId="0" applyFont="1" applyFill="1" applyBorder="1" applyAlignment="1">
      <alignment horizontal="right"/>
    </xf>
    <xf numFmtId="0" fontId="9" fillId="8" borderId="0" xfId="0" applyFont="1" applyFill="1" applyAlignment="1">
      <alignment horizontal="center"/>
    </xf>
    <xf numFmtId="166" fontId="9" fillId="8" borderId="0" xfId="0" applyNumberFormat="1" applyFont="1" applyFill="1" applyAlignment="1">
      <alignment horizontal="center"/>
    </xf>
    <xf numFmtId="49" fontId="9" fillId="8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4" fontId="9" fillId="8" borderId="0" xfId="0" applyNumberFormat="1" applyFont="1" applyFill="1" applyAlignment="1">
      <alignment horizontal="center"/>
    </xf>
    <xf numFmtId="165" fontId="9" fillId="8" borderId="8" xfId="0" applyNumberFormat="1" applyFont="1" applyFill="1" applyBorder="1" applyAlignment="1">
      <alignment horizontal="center"/>
    </xf>
    <xf numFmtId="165" fontId="9" fillId="8" borderId="0" xfId="0" applyNumberFormat="1" applyFont="1" applyFill="1" applyAlignment="1">
      <alignment horizontal="center"/>
    </xf>
    <xf numFmtId="10" fontId="10" fillId="8" borderId="0" xfId="0" applyNumberFormat="1" applyFont="1" applyFill="1" applyAlignment="1">
      <alignment horizontal="center"/>
    </xf>
    <xf numFmtId="0" fontId="26" fillId="8" borderId="8" xfId="0" applyFont="1" applyFill="1" applyBorder="1" applyAlignment="1"/>
    <xf numFmtId="0" fontId="9" fillId="8" borderId="8" xfId="0" applyFont="1" applyFill="1" applyBorder="1" applyAlignment="1">
      <alignment horizontal="right"/>
    </xf>
    <xf numFmtId="0" fontId="10" fillId="8" borderId="0" xfId="0" applyFont="1" applyFill="1" applyAlignment="1">
      <alignment horizontal="center"/>
    </xf>
    <xf numFmtId="166" fontId="10" fillId="8" borderId="0" xfId="0" applyNumberFormat="1" applyFont="1" applyFill="1" applyAlignment="1">
      <alignment horizontal="center"/>
    </xf>
    <xf numFmtId="49" fontId="10" fillId="8" borderId="0" xfId="0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4" fontId="10" fillId="8" borderId="0" xfId="0" applyNumberFormat="1" applyFont="1" applyFill="1" applyAlignment="1">
      <alignment horizontal="center"/>
    </xf>
    <xf numFmtId="165" fontId="10" fillId="8" borderId="0" xfId="0" applyNumberFormat="1" applyFont="1" applyFill="1" applyAlignment="1">
      <alignment horizontal="center"/>
    </xf>
    <xf numFmtId="0" fontId="29" fillId="8" borderId="8" xfId="0" applyFont="1" applyFill="1" applyBorder="1" applyAlignment="1"/>
    <xf numFmtId="0" fontId="10" fillId="8" borderId="8" xfId="0" applyFont="1" applyFill="1" applyBorder="1" applyAlignment="1">
      <alignment horizontal="right"/>
    </xf>
    <xf numFmtId="0" fontId="17" fillId="4" borderId="0" xfId="0" applyFont="1" applyFill="1" applyAlignment="1">
      <alignment horizontal="center"/>
    </xf>
    <xf numFmtId="166" fontId="17" fillId="4" borderId="0" xfId="0" applyNumberFormat="1" applyFont="1" applyFill="1" applyAlignment="1">
      <alignment horizontal="center"/>
    </xf>
    <xf numFmtId="49" fontId="17" fillId="4" borderId="0" xfId="0" applyNumberFormat="1" applyFont="1" applyFill="1" applyAlignment="1">
      <alignment horizontal="center"/>
    </xf>
    <xf numFmtId="4" fontId="17" fillId="4" borderId="0" xfId="0" applyNumberFormat="1" applyFont="1" applyFill="1" applyAlignment="1">
      <alignment horizontal="center"/>
    </xf>
    <xf numFmtId="165" fontId="17" fillId="4" borderId="8" xfId="0" applyNumberFormat="1" applyFont="1" applyFill="1" applyBorder="1" applyAlignment="1">
      <alignment horizontal="center"/>
    </xf>
    <xf numFmtId="165" fontId="17" fillId="4" borderId="0" xfId="0" applyNumberFormat="1" applyFont="1" applyFill="1" applyAlignment="1">
      <alignment horizontal="center"/>
    </xf>
    <xf numFmtId="10" fontId="17" fillId="4" borderId="0" xfId="0" applyNumberFormat="1" applyFont="1" applyFill="1" applyAlignment="1">
      <alignment horizontal="center"/>
    </xf>
    <xf numFmtId="0" fontId="30" fillId="4" borderId="8" xfId="0" applyFont="1" applyFill="1" applyBorder="1" applyAlignment="1"/>
    <xf numFmtId="0" fontId="17" fillId="4" borderId="8" xfId="0" applyFont="1" applyFill="1" applyBorder="1" applyAlignment="1">
      <alignment horizontal="right"/>
    </xf>
    <xf numFmtId="0" fontId="9" fillId="11" borderId="0" xfId="0" applyFont="1" applyFill="1" applyAlignment="1">
      <alignment horizontal="center"/>
    </xf>
    <xf numFmtId="166" fontId="9" fillId="11" borderId="0" xfId="0" applyNumberFormat="1" applyFont="1" applyFill="1" applyAlignment="1">
      <alignment horizontal="center"/>
    </xf>
    <xf numFmtId="49" fontId="9" fillId="11" borderId="0" xfId="0" applyNumberFormat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4" fontId="9" fillId="11" borderId="0" xfId="0" applyNumberFormat="1" applyFont="1" applyFill="1" applyAlignment="1">
      <alignment horizontal="center"/>
    </xf>
    <xf numFmtId="165" fontId="9" fillId="11" borderId="8" xfId="0" applyNumberFormat="1" applyFont="1" applyFill="1" applyBorder="1" applyAlignment="1">
      <alignment horizontal="center"/>
    </xf>
    <xf numFmtId="165" fontId="9" fillId="11" borderId="0" xfId="0" applyNumberFormat="1" applyFont="1" applyFill="1" applyAlignment="1">
      <alignment horizontal="center"/>
    </xf>
    <xf numFmtId="10" fontId="10" fillId="11" borderId="0" xfId="0" applyNumberFormat="1" applyFont="1" applyFill="1" applyAlignment="1">
      <alignment horizontal="center"/>
    </xf>
    <xf numFmtId="0" fontId="26" fillId="11" borderId="8" xfId="0" applyFont="1" applyFill="1" applyBorder="1" applyAlignment="1"/>
    <xf numFmtId="0" fontId="9" fillId="11" borderId="8" xfId="0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right"/>
    </xf>
    <xf numFmtId="168" fontId="10" fillId="7" borderId="0" xfId="0" applyNumberFormat="1" applyFont="1" applyFill="1" applyAlignment="1">
      <alignment horizontal="center"/>
    </xf>
    <xf numFmtId="168" fontId="10" fillId="7" borderId="0" xfId="0" applyNumberFormat="1" applyFont="1" applyFill="1" applyAlignment="1">
      <alignment horizontal="center"/>
    </xf>
    <xf numFmtId="169" fontId="9" fillId="8" borderId="0" xfId="0" applyNumberFormat="1" applyFont="1" applyFill="1" applyAlignment="1">
      <alignment horizontal="center"/>
    </xf>
    <xf numFmtId="170" fontId="9" fillId="8" borderId="0" xfId="0" applyNumberFormat="1" applyFont="1" applyFill="1" applyAlignment="1">
      <alignment horizontal="center"/>
    </xf>
    <xf numFmtId="170" fontId="10" fillId="8" borderId="0" xfId="0" applyNumberFormat="1" applyFont="1" applyFill="1" applyAlignment="1">
      <alignment horizontal="center"/>
    </xf>
    <xf numFmtId="169" fontId="10" fillId="7" borderId="0" xfId="0" applyNumberFormat="1" applyFont="1" applyFill="1" applyAlignment="1">
      <alignment horizontal="center"/>
    </xf>
    <xf numFmtId="170" fontId="10" fillId="7" borderId="0" xfId="0" applyNumberFormat="1" applyFont="1" applyFill="1" applyAlignment="1">
      <alignment horizontal="center"/>
    </xf>
    <xf numFmtId="170" fontId="10" fillId="7" borderId="0" xfId="0" applyNumberFormat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166" fontId="9" fillId="14" borderId="0" xfId="0" applyNumberFormat="1" applyFont="1" applyFill="1" applyAlignment="1">
      <alignment horizontal="center"/>
    </xf>
    <xf numFmtId="49" fontId="9" fillId="14" borderId="0" xfId="0" applyNumberFormat="1" applyFont="1" applyFill="1" applyAlignment="1">
      <alignment horizontal="center"/>
    </xf>
    <xf numFmtId="4" fontId="9" fillId="14" borderId="0" xfId="0" applyNumberFormat="1" applyFont="1" applyFill="1" applyAlignment="1">
      <alignment horizontal="center"/>
    </xf>
    <xf numFmtId="165" fontId="9" fillId="14" borderId="8" xfId="0" applyNumberFormat="1" applyFont="1" applyFill="1" applyBorder="1" applyAlignment="1">
      <alignment horizontal="center"/>
    </xf>
    <xf numFmtId="165" fontId="9" fillId="14" borderId="0" xfId="0" applyNumberFormat="1" applyFont="1" applyFill="1" applyAlignment="1">
      <alignment horizontal="center"/>
    </xf>
    <xf numFmtId="10" fontId="10" fillId="14" borderId="0" xfId="0" applyNumberFormat="1" applyFont="1" applyFill="1" applyAlignment="1">
      <alignment horizontal="center"/>
    </xf>
    <xf numFmtId="166" fontId="26" fillId="14" borderId="8" xfId="0" applyNumberFormat="1" applyFont="1" applyFill="1" applyBorder="1" applyAlignment="1"/>
    <xf numFmtId="0" fontId="9" fillId="14" borderId="8" xfId="0" applyFont="1" applyFill="1" applyBorder="1" applyAlignment="1">
      <alignment horizontal="right"/>
    </xf>
    <xf numFmtId="0" fontId="10" fillId="14" borderId="0" xfId="0" applyFont="1" applyFill="1" applyAlignment="1">
      <alignment horizontal="center"/>
    </xf>
    <xf numFmtId="166" fontId="10" fillId="14" borderId="0" xfId="0" applyNumberFormat="1" applyFont="1" applyFill="1" applyAlignment="1">
      <alignment horizontal="center"/>
    </xf>
    <xf numFmtId="49" fontId="10" fillId="14" borderId="0" xfId="0" applyNumberFormat="1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4" fontId="10" fillId="14" borderId="0" xfId="0" applyNumberFormat="1" applyFont="1" applyFill="1" applyAlignment="1">
      <alignment horizontal="center"/>
    </xf>
    <xf numFmtId="165" fontId="10" fillId="14" borderId="0" xfId="0" applyNumberFormat="1" applyFont="1" applyFill="1" applyAlignment="1">
      <alignment horizontal="center"/>
    </xf>
    <xf numFmtId="166" fontId="29" fillId="14" borderId="8" xfId="0" applyNumberFormat="1" applyFont="1" applyFill="1" applyBorder="1" applyAlignment="1"/>
    <xf numFmtId="0" fontId="10" fillId="14" borderId="8" xfId="0" applyFont="1" applyFill="1" applyBorder="1" applyAlignment="1">
      <alignment horizontal="right"/>
    </xf>
    <xf numFmtId="0" fontId="17" fillId="12" borderId="0" xfId="0" applyFont="1" applyFill="1" applyAlignment="1">
      <alignment horizontal="center"/>
    </xf>
    <xf numFmtId="166" fontId="17" fillId="12" borderId="0" xfId="0" applyNumberFormat="1" applyFont="1" applyFill="1" applyAlignment="1">
      <alignment horizontal="center"/>
    </xf>
    <xf numFmtId="49" fontId="17" fillId="12" borderId="0" xfId="0" applyNumberFormat="1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4" fontId="17" fillId="12" borderId="0" xfId="0" applyNumberFormat="1" applyFont="1" applyFill="1" applyAlignment="1">
      <alignment horizontal="center"/>
    </xf>
    <xf numFmtId="165" fontId="17" fillId="12" borderId="8" xfId="0" applyNumberFormat="1" applyFont="1" applyFill="1" applyBorder="1" applyAlignment="1">
      <alignment horizontal="center"/>
    </xf>
    <xf numFmtId="165" fontId="17" fillId="12" borderId="0" xfId="0" applyNumberFormat="1" applyFont="1" applyFill="1" applyAlignment="1">
      <alignment horizontal="center"/>
    </xf>
    <xf numFmtId="10" fontId="27" fillId="12" borderId="0" xfId="0" applyNumberFormat="1" applyFont="1" applyFill="1" applyAlignment="1">
      <alignment horizontal="center"/>
    </xf>
    <xf numFmtId="166" fontId="30" fillId="12" borderId="8" xfId="0" applyNumberFormat="1" applyFont="1" applyFill="1" applyBorder="1" applyAlignment="1"/>
    <xf numFmtId="0" fontId="17" fillId="12" borderId="8" xfId="0" applyFont="1" applyFill="1" applyBorder="1" applyAlignment="1">
      <alignment horizontal="right"/>
    </xf>
    <xf numFmtId="0" fontId="9" fillId="9" borderId="0" xfId="0" applyFont="1" applyFill="1" applyAlignment="1">
      <alignment horizontal="center"/>
    </xf>
    <xf numFmtId="166" fontId="9" fillId="9" borderId="0" xfId="0" applyNumberFormat="1" applyFont="1" applyFill="1" applyAlignment="1">
      <alignment horizontal="center"/>
    </xf>
    <xf numFmtId="49" fontId="9" fillId="9" borderId="0" xfId="0" applyNumberFormat="1" applyFont="1" applyFill="1" applyAlignment="1">
      <alignment horizontal="center"/>
    </xf>
    <xf numFmtId="0" fontId="9" fillId="9" borderId="0" xfId="0" applyFont="1" applyFill="1" applyAlignment="1">
      <alignment horizontal="center"/>
    </xf>
    <xf numFmtId="4" fontId="9" fillId="9" borderId="0" xfId="0" applyNumberFormat="1" applyFont="1" applyFill="1" applyAlignment="1">
      <alignment horizontal="center"/>
    </xf>
    <xf numFmtId="165" fontId="9" fillId="9" borderId="8" xfId="0" applyNumberFormat="1" applyFont="1" applyFill="1" applyBorder="1" applyAlignment="1">
      <alignment horizontal="center"/>
    </xf>
    <xf numFmtId="165" fontId="9" fillId="9" borderId="0" xfId="0" applyNumberFormat="1" applyFont="1" applyFill="1" applyAlignment="1">
      <alignment horizontal="center"/>
    </xf>
    <xf numFmtId="10" fontId="10" fillId="9" borderId="0" xfId="0" applyNumberFormat="1" applyFont="1" applyFill="1" applyAlignment="1">
      <alignment horizontal="center"/>
    </xf>
    <xf numFmtId="0" fontId="26" fillId="9" borderId="8" xfId="0" applyFont="1" applyFill="1" applyBorder="1" applyAlignment="1"/>
    <xf numFmtId="0" fontId="9" fillId="9" borderId="8" xfId="0" applyFont="1" applyFill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165" fontId="32" fillId="0" borderId="0" xfId="0" applyNumberFormat="1" applyFont="1"/>
    <xf numFmtId="165" fontId="33" fillId="0" borderId="0" xfId="0" applyNumberFormat="1" applyFont="1"/>
    <xf numFmtId="0" fontId="1" fillId="0" borderId="0" xfId="0" applyFont="1"/>
    <xf numFmtId="0" fontId="34" fillId="0" borderId="5" xfId="0" applyFont="1" applyBorder="1" applyAlignment="1"/>
    <xf numFmtId="0" fontId="35" fillId="0" borderId="5" xfId="0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/>
    <xf numFmtId="0" fontId="9" fillId="0" borderId="14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center"/>
    </xf>
    <xf numFmtId="0" fontId="9" fillId="0" borderId="12" xfId="0" applyFont="1" applyBorder="1" applyAlignment="1"/>
    <xf numFmtId="0" fontId="9" fillId="0" borderId="15" xfId="0" applyFont="1" applyBorder="1" applyAlignment="1"/>
    <xf numFmtId="0" fontId="9" fillId="0" borderId="15" xfId="0" applyFont="1" applyBorder="1" applyAlignment="1">
      <alignment horizontal="center"/>
    </xf>
    <xf numFmtId="0" fontId="1" fillId="0" borderId="5" xfId="0" applyFont="1" applyBorder="1"/>
    <xf numFmtId="165" fontId="1" fillId="0" borderId="5" xfId="0" applyNumberFormat="1" applyFont="1" applyBorder="1"/>
    <xf numFmtId="165" fontId="1" fillId="0" borderId="5" xfId="0" applyNumberFormat="1" applyFont="1" applyBorder="1" applyAlignment="1"/>
    <xf numFmtId="165" fontId="9" fillId="0" borderId="15" xfId="0" applyNumberFormat="1" applyFont="1" applyBorder="1" applyAlignment="1"/>
    <xf numFmtId="0" fontId="9" fillId="0" borderId="5" xfId="0" applyFont="1" applyBorder="1" applyAlignment="1"/>
    <xf numFmtId="165" fontId="9" fillId="0" borderId="4" xfId="0" applyNumberFormat="1" applyFont="1" applyBorder="1" applyAlignment="1">
      <alignment horizontal="right"/>
    </xf>
    <xf numFmtId="0" fontId="1" fillId="22" borderId="5" xfId="0" applyFont="1" applyFill="1" applyBorder="1"/>
    <xf numFmtId="165" fontId="1" fillId="22" borderId="5" xfId="0" applyNumberFormat="1" applyFont="1" applyFill="1" applyBorder="1"/>
    <xf numFmtId="165" fontId="1" fillId="22" borderId="5" xfId="0" applyNumberFormat="1" applyFont="1" applyFill="1" applyBorder="1" applyAlignment="1"/>
    <xf numFmtId="0" fontId="36" fillId="0" borderId="0" xfId="0" applyFont="1" applyAlignment="1"/>
    <xf numFmtId="0" fontId="36" fillId="0" borderId="0" xfId="0" applyFont="1"/>
    <xf numFmtId="0" fontId="36" fillId="0" borderId="5" xfId="0" applyFont="1" applyBorder="1" applyAlignment="1"/>
    <xf numFmtId="165" fontId="9" fillId="0" borderId="5" xfId="0" applyNumberFormat="1" applyFont="1" applyBorder="1" applyAlignment="1"/>
    <xf numFmtId="0" fontId="37" fillId="0" borderId="15" xfId="0" applyFont="1" applyBorder="1" applyAlignment="1"/>
    <xf numFmtId="165" fontId="38" fillId="0" borderId="5" xfId="0" applyNumberFormat="1" applyFont="1" applyBorder="1"/>
    <xf numFmtId="165" fontId="39" fillId="0" borderId="15" xfId="0" applyNumberFormat="1" applyFont="1" applyBorder="1" applyAlignment="1">
      <alignment horizontal="right"/>
    </xf>
    <xf numFmtId="165" fontId="40" fillId="0" borderId="5" xfId="0" applyNumberFormat="1" applyFont="1" applyBorder="1"/>
    <xf numFmtId="165" fontId="41" fillId="0" borderId="15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0" fontId="9" fillId="10" borderId="0" xfId="0" applyNumberFormat="1" applyFont="1" applyFill="1" applyAlignment="1">
      <alignment horizontal="center"/>
    </xf>
    <xf numFmtId="165" fontId="10" fillId="8" borderId="8" xfId="0" applyNumberFormat="1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166" fontId="10" fillId="11" borderId="0" xfId="0" applyNumberFormat="1" applyFont="1" applyFill="1" applyAlignment="1">
      <alignment horizontal="center"/>
    </xf>
    <xf numFmtId="49" fontId="10" fillId="11" borderId="0" xfId="0" applyNumberFormat="1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4" fontId="10" fillId="11" borderId="0" xfId="0" applyNumberFormat="1" applyFont="1" applyFill="1" applyAlignment="1">
      <alignment horizontal="center"/>
    </xf>
    <xf numFmtId="165" fontId="10" fillId="11" borderId="8" xfId="0" applyNumberFormat="1" applyFont="1" applyFill="1" applyBorder="1" applyAlignment="1">
      <alignment horizontal="center"/>
    </xf>
    <xf numFmtId="165" fontId="10" fillId="11" borderId="0" xfId="0" applyNumberFormat="1" applyFont="1" applyFill="1" applyAlignment="1">
      <alignment horizontal="center"/>
    </xf>
    <xf numFmtId="0" fontId="29" fillId="11" borderId="8" xfId="0" applyFont="1" applyFill="1" applyBorder="1" applyAlignment="1"/>
    <xf numFmtId="0" fontId="10" fillId="11" borderId="8" xfId="0" applyFont="1" applyFill="1" applyBorder="1" applyAlignment="1">
      <alignment horizontal="right"/>
    </xf>
    <xf numFmtId="10" fontId="9" fillId="11" borderId="0" xfId="0" applyNumberFormat="1" applyFont="1" applyFill="1" applyAlignment="1">
      <alignment horizontal="center"/>
    </xf>
    <xf numFmtId="166" fontId="9" fillId="7" borderId="0" xfId="0" applyNumberFormat="1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5" fontId="9" fillId="9" borderId="8" xfId="0" applyNumberFormat="1" applyFont="1" applyFill="1" applyBorder="1" applyAlignment="1">
      <alignment horizontal="center"/>
    </xf>
    <xf numFmtId="169" fontId="10" fillId="8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49" fontId="9" fillId="7" borderId="0" xfId="0" applyNumberFormat="1" applyFont="1" applyFill="1" applyAlignment="1">
      <alignment horizontal="center"/>
    </xf>
    <xf numFmtId="165" fontId="9" fillId="7" borderId="8" xfId="0" applyNumberFormat="1" applyFont="1" applyFill="1" applyBorder="1" applyAlignment="1">
      <alignment horizontal="center"/>
    </xf>
    <xf numFmtId="0" fontId="26" fillId="7" borderId="8" xfId="0" applyFont="1" applyFill="1" applyBorder="1" applyAlignment="1"/>
    <xf numFmtId="0" fontId="9" fillId="7" borderId="8" xfId="0" applyFont="1" applyFill="1" applyBorder="1" applyAlignment="1">
      <alignment horizontal="right"/>
    </xf>
    <xf numFmtId="169" fontId="10" fillId="7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6" fontId="27" fillId="12" borderId="0" xfId="0" applyNumberFormat="1" applyFont="1" applyFill="1" applyAlignment="1">
      <alignment horizontal="center"/>
    </xf>
    <xf numFmtId="49" fontId="27" fillId="12" borderId="0" xfId="0" applyNumberFormat="1" applyFont="1" applyFill="1" applyAlignment="1">
      <alignment horizontal="center"/>
    </xf>
    <xf numFmtId="4" fontId="27" fillId="12" borderId="0" xfId="0" applyNumberFormat="1" applyFont="1" applyFill="1" applyAlignment="1">
      <alignment horizontal="center"/>
    </xf>
    <xf numFmtId="165" fontId="27" fillId="12" borderId="8" xfId="0" applyNumberFormat="1" applyFont="1" applyFill="1" applyBorder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166" fontId="28" fillId="12" borderId="8" xfId="0" applyNumberFormat="1" applyFont="1" applyFill="1" applyBorder="1" applyAlignment="1"/>
    <xf numFmtId="0" fontId="27" fillId="12" borderId="8" xfId="0" applyFont="1" applyFill="1" applyBorder="1" applyAlignment="1">
      <alignment horizontal="right"/>
    </xf>
    <xf numFmtId="165" fontId="10" fillId="14" borderId="8" xfId="0" applyNumberFormat="1" applyFont="1" applyFill="1" applyBorder="1" applyAlignment="1">
      <alignment horizontal="center"/>
    </xf>
    <xf numFmtId="10" fontId="9" fillId="9" borderId="0" xfId="0" applyNumberFormat="1" applyFont="1" applyFill="1" applyAlignment="1">
      <alignment horizontal="center"/>
    </xf>
    <xf numFmtId="10" fontId="9" fillId="14" borderId="0" xfId="0" applyNumberFormat="1" applyFont="1" applyFill="1" applyAlignment="1">
      <alignment horizontal="center"/>
    </xf>
    <xf numFmtId="0" fontId="42" fillId="24" borderId="0" xfId="0" applyFont="1" applyFill="1" applyAlignment="1">
      <alignment horizontal="center"/>
    </xf>
    <xf numFmtId="0" fontId="42" fillId="24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166" fontId="27" fillId="13" borderId="0" xfId="0" applyNumberFormat="1" applyFont="1" applyFill="1" applyAlignment="1">
      <alignment horizontal="center"/>
    </xf>
    <xf numFmtId="49" fontId="27" fillId="13" borderId="0" xfId="0" applyNumberFormat="1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4" fontId="27" fillId="13" borderId="0" xfId="0" applyNumberFormat="1" applyFont="1" applyFill="1" applyAlignment="1">
      <alignment horizontal="center"/>
    </xf>
    <xf numFmtId="165" fontId="27" fillId="13" borderId="8" xfId="0" applyNumberFormat="1" applyFont="1" applyFill="1" applyBorder="1" applyAlignment="1">
      <alignment horizontal="center"/>
    </xf>
    <xf numFmtId="165" fontId="27" fillId="13" borderId="0" xfId="0" applyNumberFormat="1" applyFont="1" applyFill="1" applyAlignment="1">
      <alignment horizontal="center"/>
    </xf>
    <xf numFmtId="10" fontId="27" fillId="13" borderId="0" xfId="0" applyNumberFormat="1" applyFont="1" applyFill="1" applyAlignment="1">
      <alignment horizontal="center"/>
    </xf>
    <xf numFmtId="166" fontId="28" fillId="13" borderId="8" xfId="0" applyNumberFormat="1" applyFont="1" applyFill="1" applyBorder="1" applyAlignment="1"/>
    <xf numFmtId="0" fontId="27" fillId="13" borderId="8" xfId="0" applyFont="1" applyFill="1" applyBorder="1" applyAlignment="1">
      <alignment horizontal="right"/>
    </xf>
    <xf numFmtId="0" fontId="17" fillId="13" borderId="0" xfId="0" applyFont="1" applyFill="1" applyAlignment="1">
      <alignment horizontal="center"/>
    </xf>
    <xf numFmtId="166" fontId="17" fillId="13" borderId="0" xfId="0" applyNumberFormat="1" applyFont="1" applyFill="1" applyAlignment="1">
      <alignment horizontal="center"/>
    </xf>
    <xf numFmtId="49" fontId="17" fillId="13" borderId="0" xfId="0" applyNumberFormat="1" applyFont="1" applyFill="1" applyAlignment="1">
      <alignment horizontal="center"/>
    </xf>
    <xf numFmtId="4" fontId="17" fillId="13" borderId="0" xfId="0" applyNumberFormat="1" applyFont="1" applyFill="1" applyAlignment="1">
      <alignment horizontal="center"/>
    </xf>
    <xf numFmtId="165" fontId="17" fillId="13" borderId="8" xfId="0" applyNumberFormat="1" applyFont="1" applyFill="1" applyBorder="1" applyAlignment="1">
      <alignment horizontal="center"/>
    </xf>
    <xf numFmtId="165" fontId="17" fillId="13" borderId="0" xfId="0" applyNumberFormat="1" applyFont="1" applyFill="1" applyAlignment="1">
      <alignment horizontal="center"/>
    </xf>
    <xf numFmtId="166" fontId="30" fillId="13" borderId="8" xfId="0" applyNumberFormat="1" applyFont="1" applyFill="1" applyBorder="1" applyAlignment="1"/>
    <xf numFmtId="0" fontId="17" fillId="13" borderId="8" xfId="0" applyFont="1" applyFill="1" applyBorder="1" applyAlignment="1">
      <alignment horizontal="right"/>
    </xf>
    <xf numFmtId="0" fontId="10" fillId="15" borderId="0" xfId="0" applyFont="1" applyFill="1" applyAlignment="1">
      <alignment horizontal="center"/>
    </xf>
    <xf numFmtId="166" fontId="10" fillId="15" borderId="0" xfId="0" applyNumberFormat="1" applyFont="1" applyFill="1" applyAlignment="1">
      <alignment horizontal="center"/>
    </xf>
    <xf numFmtId="49" fontId="10" fillId="15" borderId="0" xfId="0" applyNumberFormat="1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4" fontId="10" fillId="15" borderId="0" xfId="0" applyNumberFormat="1" applyFont="1" applyFill="1" applyAlignment="1">
      <alignment horizontal="center"/>
    </xf>
    <xf numFmtId="165" fontId="10" fillId="15" borderId="8" xfId="0" applyNumberFormat="1" applyFont="1" applyFill="1" applyBorder="1" applyAlignment="1">
      <alignment horizontal="center"/>
    </xf>
    <xf numFmtId="165" fontId="10" fillId="15" borderId="0" xfId="0" applyNumberFormat="1" applyFont="1" applyFill="1" applyAlignment="1">
      <alignment horizontal="center"/>
    </xf>
    <xf numFmtId="10" fontId="10" fillId="15" borderId="0" xfId="0" applyNumberFormat="1" applyFont="1" applyFill="1" applyAlignment="1">
      <alignment horizontal="center"/>
    </xf>
    <xf numFmtId="166" fontId="29" fillId="15" borderId="8" xfId="0" applyNumberFormat="1" applyFont="1" applyFill="1" applyBorder="1" applyAlignment="1"/>
    <xf numFmtId="0" fontId="10" fillId="15" borderId="8" xfId="0" applyFont="1" applyFill="1" applyBorder="1" applyAlignment="1">
      <alignment horizontal="right"/>
    </xf>
    <xf numFmtId="0" fontId="42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0" fontId="17" fillId="5" borderId="0" xfId="0" applyNumberFormat="1" applyFont="1" applyFill="1" applyAlignment="1">
      <alignment horizontal="center"/>
    </xf>
    <xf numFmtId="10" fontId="17" fillId="12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166" fontId="10" fillId="9" borderId="0" xfId="0" applyNumberFormat="1" applyFont="1" applyFill="1" applyAlignment="1">
      <alignment horizontal="center"/>
    </xf>
    <xf numFmtId="49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4" fontId="10" fillId="9" borderId="0" xfId="0" applyNumberFormat="1" applyFont="1" applyFill="1" applyAlignment="1">
      <alignment horizontal="center"/>
    </xf>
    <xf numFmtId="165" fontId="10" fillId="9" borderId="8" xfId="0" applyNumberFormat="1" applyFont="1" applyFill="1" applyBorder="1" applyAlignment="1">
      <alignment horizontal="center"/>
    </xf>
    <xf numFmtId="165" fontId="10" fillId="9" borderId="0" xfId="0" applyNumberFormat="1" applyFont="1" applyFill="1" applyAlignment="1">
      <alignment horizontal="center"/>
    </xf>
    <xf numFmtId="0" fontId="29" fillId="9" borderId="8" xfId="0" applyFont="1" applyFill="1" applyBorder="1" applyAlignment="1"/>
    <xf numFmtId="0" fontId="10" fillId="9" borderId="8" xfId="0" applyFont="1" applyFill="1" applyBorder="1" applyAlignment="1">
      <alignment horizontal="right"/>
    </xf>
    <xf numFmtId="10" fontId="2" fillId="0" borderId="7" xfId="0" applyNumberFormat="1" applyFont="1" applyBorder="1" applyAlignment="1">
      <alignment horizontal="center"/>
    </xf>
    <xf numFmtId="10" fontId="1" fillId="10" borderId="7" xfId="0" applyNumberFormat="1" applyFont="1" applyFill="1" applyBorder="1" applyAlignment="1">
      <alignment horizontal="center"/>
    </xf>
    <xf numFmtId="10" fontId="1" fillId="10" borderId="0" xfId="0" applyNumberFormat="1" applyFont="1" applyFill="1" applyAlignment="1">
      <alignment horizontal="center"/>
    </xf>
    <xf numFmtId="10" fontId="43" fillId="13" borderId="0" xfId="0" applyNumberFormat="1" applyFont="1" applyFill="1" applyAlignment="1">
      <alignment horizontal="center"/>
    </xf>
    <xf numFmtId="10" fontId="1" fillId="7" borderId="0" xfId="0" applyNumberFormat="1" applyFont="1" applyFill="1" applyAlignment="1">
      <alignment horizontal="center"/>
    </xf>
    <xf numFmtId="10" fontId="43" fillId="5" borderId="0" xfId="0" applyNumberFormat="1" applyFont="1" applyFill="1" applyAlignment="1">
      <alignment horizontal="center"/>
    </xf>
    <xf numFmtId="10" fontId="1" fillId="14" borderId="0" xfId="0" applyNumberFormat="1" applyFont="1" applyFill="1" applyAlignment="1">
      <alignment horizontal="center"/>
    </xf>
    <xf numFmtId="10" fontId="13" fillId="12" borderId="0" xfId="0" applyNumberFormat="1" applyFont="1" applyFill="1" applyAlignment="1">
      <alignment horizontal="center"/>
    </xf>
    <xf numFmtId="10" fontId="13" fillId="5" borderId="0" xfId="0" applyNumberFormat="1" applyFont="1" applyFill="1" applyAlignment="1">
      <alignment horizontal="center"/>
    </xf>
    <xf numFmtId="10" fontId="1" fillId="8" borderId="0" xfId="0" applyNumberFormat="1" applyFont="1" applyFill="1" applyAlignment="1">
      <alignment horizontal="center"/>
    </xf>
    <xf numFmtId="10" fontId="1" fillId="15" borderId="0" xfId="0" applyNumberFormat="1" applyFont="1" applyFill="1" applyAlignment="1">
      <alignment horizontal="center"/>
    </xf>
    <xf numFmtId="10" fontId="1" fillId="9" borderId="0" xfId="0" applyNumberFormat="1" applyFont="1" applyFill="1" applyAlignment="1">
      <alignment horizontal="center"/>
    </xf>
    <xf numFmtId="165" fontId="44" fillId="0" borderId="5" xfId="0" applyNumberFormat="1" applyFont="1" applyBorder="1"/>
    <xf numFmtId="165" fontId="1" fillId="0" borderId="0" xfId="0" applyNumberFormat="1" applyFont="1"/>
  </cellXfs>
  <cellStyles count="1">
    <cellStyle name="Normal" xfId="0" builtinId="0"/>
  </cellStyles>
  <dxfs count="17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PlanFinanciar!$F$1</c:f>
              <c:strCache>
                <c:ptCount val="1"/>
                <c:pt idx="0">
                  <c:v>Win Per Month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PlanFinanciar!$B$2:$B$138</c:f>
              <c:strCache>
                <c:ptCount val="137"/>
                <c:pt idx="0">
                  <c:v>August</c:v>
                </c:pt>
                <c:pt idx="1">
                  <c:v>September</c:v>
                </c:pt>
                <c:pt idx="2">
                  <c:v>Octomber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  <c:pt idx="12">
                  <c:v>August</c:v>
                </c:pt>
                <c:pt idx="13">
                  <c:v>September</c:v>
                </c:pt>
                <c:pt idx="14">
                  <c:v>Octomber</c:v>
                </c:pt>
                <c:pt idx="15">
                  <c:v>November</c:v>
                </c:pt>
                <c:pt idx="16">
                  <c:v>December</c:v>
                </c:pt>
                <c:pt idx="17">
                  <c:v>January</c:v>
                </c:pt>
                <c:pt idx="18">
                  <c:v>February</c:v>
                </c:pt>
                <c:pt idx="19">
                  <c:v>March</c:v>
                </c:pt>
                <c:pt idx="20">
                  <c:v>April</c:v>
                </c:pt>
                <c:pt idx="21">
                  <c:v>May</c:v>
                </c:pt>
                <c:pt idx="22">
                  <c:v>June</c:v>
                </c:pt>
                <c:pt idx="23">
                  <c:v>July</c:v>
                </c:pt>
                <c:pt idx="24">
                  <c:v>August</c:v>
                </c:pt>
                <c:pt idx="25">
                  <c:v>September</c:v>
                </c:pt>
                <c:pt idx="26">
                  <c:v>Octomber</c:v>
                </c:pt>
                <c:pt idx="27">
                  <c:v>November</c:v>
                </c:pt>
                <c:pt idx="28">
                  <c:v>December</c:v>
                </c:pt>
                <c:pt idx="29">
                  <c:v>January</c:v>
                </c:pt>
                <c:pt idx="30">
                  <c:v>February</c:v>
                </c:pt>
                <c:pt idx="31">
                  <c:v>March</c:v>
                </c:pt>
                <c:pt idx="32">
                  <c:v>April</c:v>
                </c:pt>
                <c:pt idx="33">
                  <c:v>May</c:v>
                </c:pt>
                <c:pt idx="34">
                  <c:v>June</c:v>
                </c:pt>
                <c:pt idx="35">
                  <c:v>July</c:v>
                </c:pt>
                <c:pt idx="36">
                  <c:v>August</c:v>
                </c:pt>
                <c:pt idx="37">
                  <c:v>September</c:v>
                </c:pt>
                <c:pt idx="38">
                  <c:v>Octomber</c:v>
                </c:pt>
                <c:pt idx="39">
                  <c:v>November</c:v>
                </c:pt>
                <c:pt idx="40">
                  <c:v>December</c:v>
                </c:pt>
                <c:pt idx="41">
                  <c:v>January</c:v>
                </c:pt>
                <c:pt idx="42">
                  <c:v>February</c:v>
                </c:pt>
                <c:pt idx="43">
                  <c:v>March</c:v>
                </c:pt>
                <c:pt idx="44">
                  <c:v>April</c:v>
                </c:pt>
                <c:pt idx="45">
                  <c:v>May</c:v>
                </c:pt>
                <c:pt idx="46">
                  <c:v>June</c:v>
                </c:pt>
                <c:pt idx="47">
                  <c:v>July</c:v>
                </c:pt>
                <c:pt idx="48">
                  <c:v>August</c:v>
                </c:pt>
                <c:pt idx="49">
                  <c:v>September</c:v>
                </c:pt>
                <c:pt idx="50">
                  <c:v>Octomber</c:v>
                </c:pt>
                <c:pt idx="51">
                  <c:v>November</c:v>
                </c:pt>
                <c:pt idx="52">
                  <c:v>December</c:v>
                </c:pt>
                <c:pt idx="53">
                  <c:v>January</c:v>
                </c:pt>
                <c:pt idx="54">
                  <c:v>February</c:v>
                </c:pt>
                <c:pt idx="55">
                  <c:v>March</c:v>
                </c:pt>
                <c:pt idx="56">
                  <c:v>April</c:v>
                </c:pt>
                <c:pt idx="57">
                  <c:v>May</c:v>
                </c:pt>
                <c:pt idx="58">
                  <c:v>June</c:v>
                </c:pt>
                <c:pt idx="59">
                  <c:v>July</c:v>
                </c:pt>
                <c:pt idx="60">
                  <c:v>August</c:v>
                </c:pt>
                <c:pt idx="61">
                  <c:v>September</c:v>
                </c:pt>
                <c:pt idx="62">
                  <c:v>Octomber</c:v>
                </c:pt>
                <c:pt idx="63">
                  <c:v>November</c:v>
                </c:pt>
                <c:pt idx="64">
                  <c:v>December</c:v>
                </c:pt>
                <c:pt idx="65">
                  <c:v>January</c:v>
                </c:pt>
                <c:pt idx="66">
                  <c:v>February</c:v>
                </c:pt>
                <c:pt idx="67">
                  <c:v>March</c:v>
                </c:pt>
                <c:pt idx="68">
                  <c:v>April</c:v>
                </c:pt>
                <c:pt idx="69">
                  <c:v>May</c:v>
                </c:pt>
                <c:pt idx="70">
                  <c:v>June</c:v>
                </c:pt>
                <c:pt idx="71">
                  <c:v>July</c:v>
                </c:pt>
                <c:pt idx="72">
                  <c:v>August</c:v>
                </c:pt>
                <c:pt idx="73">
                  <c:v>September</c:v>
                </c:pt>
                <c:pt idx="74">
                  <c:v>Octomber</c:v>
                </c:pt>
                <c:pt idx="75">
                  <c:v>November</c:v>
                </c:pt>
                <c:pt idx="76">
                  <c:v>December</c:v>
                </c:pt>
                <c:pt idx="77">
                  <c:v>January</c:v>
                </c:pt>
                <c:pt idx="78">
                  <c:v>February</c:v>
                </c:pt>
                <c:pt idx="79">
                  <c:v>March</c:v>
                </c:pt>
                <c:pt idx="80">
                  <c:v>April</c:v>
                </c:pt>
                <c:pt idx="81">
                  <c:v>May</c:v>
                </c:pt>
                <c:pt idx="82">
                  <c:v>June</c:v>
                </c:pt>
                <c:pt idx="83">
                  <c:v>July</c:v>
                </c:pt>
                <c:pt idx="84">
                  <c:v>August</c:v>
                </c:pt>
                <c:pt idx="85">
                  <c:v>September</c:v>
                </c:pt>
                <c:pt idx="86">
                  <c:v>Octomber</c:v>
                </c:pt>
                <c:pt idx="87">
                  <c:v>November</c:v>
                </c:pt>
                <c:pt idx="88">
                  <c:v>December</c:v>
                </c:pt>
                <c:pt idx="89">
                  <c:v>January</c:v>
                </c:pt>
                <c:pt idx="90">
                  <c:v>February</c:v>
                </c:pt>
                <c:pt idx="91">
                  <c:v>March</c:v>
                </c:pt>
                <c:pt idx="92">
                  <c:v>April</c:v>
                </c:pt>
                <c:pt idx="93">
                  <c:v>May</c:v>
                </c:pt>
                <c:pt idx="94">
                  <c:v>June</c:v>
                </c:pt>
                <c:pt idx="95">
                  <c:v>July</c:v>
                </c:pt>
                <c:pt idx="96">
                  <c:v>August</c:v>
                </c:pt>
                <c:pt idx="97">
                  <c:v>September</c:v>
                </c:pt>
                <c:pt idx="98">
                  <c:v>Octomber</c:v>
                </c:pt>
                <c:pt idx="99">
                  <c:v>November</c:v>
                </c:pt>
                <c:pt idx="100">
                  <c:v>December</c:v>
                </c:pt>
                <c:pt idx="101">
                  <c:v>January</c:v>
                </c:pt>
                <c:pt idx="102">
                  <c:v>February</c:v>
                </c:pt>
                <c:pt idx="103">
                  <c:v>March</c:v>
                </c:pt>
                <c:pt idx="104">
                  <c:v>April</c:v>
                </c:pt>
                <c:pt idx="105">
                  <c:v>May</c:v>
                </c:pt>
                <c:pt idx="106">
                  <c:v>June</c:v>
                </c:pt>
                <c:pt idx="107">
                  <c:v>July</c:v>
                </c:pt>
                <c:pt idx="108">
                  <c:v>August</c:v>
                </c:pt>
                <c:pt idx="109">
                  <c:v>September</c:v>
                </c:pt>
                <c:pt idx="110">
                  <c:v>Octomber</c:v>
                </c:pt>
                <c:pt idx="111">
                  <c:v>November</c:v>
                </c:pt>
                <c:pt idx="112">
                  <c:v>December</c:v>
                </c:pt>
                <c:pt idx="113">
                  <c:v>January</c:v>
                </c:pt>
                <c:pt idx="114">
                  <c:v>February</c:v>
                </c:pt>
                <c:pt idx="115">
                  <c:v>March</c:v>
                </c:pt>
                <c:pt idx="116">
                  <c:v>April</c:v>
                </c:pt>
                <c:pt idx="117">
                  <c:v>May</c:v>
                </c:pt>
                <c:pt idx="118">
                  <c:v>June</c:v>
                </c:pt>
                <c:pt idx="119">
                  <c:v>July</c:v>
                </c:pt>
                <c:pt idx="120">
                  <c:v>August</c:v>
                </c:pt>
                <c:pt idx="121">
                  <c:v>September</c:v>
                </c:pt>
                <c:pt idx="122">
                  <c:v>Octomber</c:v>
                </c:pt>
                <c:pt idx="123">
                  <c:v>November</c:v>
                </c:pt>
                <c:pt idx="124">
                  <c:v>December</c:v>
                </c:pt>
                <c:pt idx="125">
                  <c:v>January</c:v>
                </c:pt>
                <c:pt idx="126">
                  <c:v>February</c:v>
                </c:pt>
                <c:pt idx="127">
                  <c:v>March</c:v>
                </c:pt>
                <c:pt idx="128">
                  <c:v>April</c:v>
                </c:pt>
                <c:pt idx="129">
                  <c:v>May</c:v>
                </c:pt>
                <c:pt idx="130">
                  <c:v>June</c:v>
                </c:pt>
                <c:pt idx="131">
                  <c:v>July</c:v>
                </c:pt>
                <c:pt idx="132">
                  <c:v>August</c:v>
                </c:pt>
                <c:pt idx="133">
                  <c:v>September</c:v>
                </c:pt>
                <c:pt idx="134">
                  <c:v>Octomber</c:v>
                </c:pt>
                <c:pt idx="135">
                  <c:v>November</c:v>
                </c:pt>
                <c:pt idx="136">
                  <c:v>December</c:v>
                </c:pt>
              </c:strCache>
            </c:strRef>
          </c:cat>
          <c:val>
            <c:numRef>
              <c:f>PlanFinanciar!$F$2:$F$138</c:f>
              <c:numCache>
                <c:formatCode>#,##0.00\ [$lei-418]</c:formatCode>
                <c:ptCount val="137"/>
                <c:pt idx="0">
                  <c:v>2.5351666666666666</c:v>
                </c:pt>
                <c:pt idx="1">
                  <c:v>4.6792451527777779</c:v>
                </c:pt>
                <c:pt idx="2">
                  <c:v>6.5060659070497691</c:v>
                </c:pt>
                <c:pt idx="3">
                  <c:v>8.417711632232189</c:v>
                </c:pt>
                <c:pt idx="4">
                  <c:v>10.342722146975648</c:v>
                </c:pt>
                <c:pt idx="5">
                  <c:v>14.151119757353536</c:v>
                </c:pt>
                <c:pt idx="6">
                  <c:v>16.490764426251516</c:v>
                </c:pt>
                <c:pt idx="7">
                  <c:v>18.572967369813075</c:v>
                </c:pt>
                <c:pt idx="8">
                  <c:v>22.685306537756947</c:v>
                </c:pt>
                <c:pt idx="9">
                  <c:v>24.985882322410163</c:v>
                </c:pt>
                <c:pt idx="10">
                  <c:v>27.077430229956963</c:v>
                </c:pt>
                <c:pt idx="11">
                  <c:v>29.154200809542363</c:v>
                </c:pt>
                <c:pt idx="12">
                  <c:v>31.437407082591363</c:v>
                </c:pt>
                <c:pt idx="13">
                  <c:v>33.553540013294736</c:v>
                </c:pt>
                <c:pt idx="14">
                  <c:v>36.144580817626142</c:v>
                </c:pt>
                <c:pt idx="15">
                  <c:v>38.721257996492056</c:v>
                </c:pt>
                <c:pt idx="16">
                  <c:v>40.95801995651621</c:v>
                </c:pt>
                <c:pt idx="17">
                  <c:v>42.900431866158776</c:v>
                </c:pt>
                <c:pt idx="18">
                  <c:v>45.54821484696317</c:v>
                </c:pt>
                <c:pt idx="19">
                  <c:v>47.718103590695364</c:v>
                </c:pt>
                <c:pt idx="20">
                  <c:v>49.933137169435831</c:v>
                </c:pt>
                <c:pt idx="21">
                  <c:v>52.223861205278837</c:v>
                </c:pt>
                <c:pt idx="22">
                  <c:v>54.423925436133707</c:v>
                </c:pt>
                <c:pt idx="23">
                  <c:v>56.805453754270253</c:v>
                </c:pt>
                <c:pt idx="24">
                  <c:v>59.19861918827646</c:v>
                </c:pt>
                <c:pt idx="25">
                  <c:v>61.41578864400811</c:v>
                </c:pt>
                <c:pt idx="26">
                  <c:v>64.119885313789894</c:v>
                </c:pt>
                <c:pt idx="27">
                  <c:v>66.818501069116053</c:v>
                </c:pt>
                <c:pt idx="28">
                  <c:v>69.162014473279115</c:v>
                </c:pt>
                <c:pt idx="29">
                  <c:v>71.201224684062566</c:v>
                </c:pt>
                <c:pt idx="30">
                  <c:v>73.987033632739085</c:v>
                </c:pt>
                <c:pt idx="31">
                  <c:v>76.262309210900312</c:v>
                </c:pt>
                <c:pt idx="32">
                  <c:v>78.578875688014293</c:v>
                </c:pt>
                <c:pt idx="33">
                  <c:v>81.079529785329797</c:v>
                </c:pt>
                <c:pt idx="34">
                  <c:v>83.394555228041426</c:v>
                </c:pt>
                <c:pt idx="35">
                  <c:v>85.693224416094708</c:v>
                </c:pt>
                <c:pt idx="36">
                  <c:v>88.201266200559516</c:v>
                </c:pt>
                <c:pt idx="37">
                  <c:v>90.523990365487123</c:v>
                </c:pt>
                <c:pt idx="38">
                  <c:v>93.346198569658782</c:v>
                </c:pt>
                <c:pt idx="39">
                  <c:v>96.172205790342915</c:v>
                </c:pt>
                <c:pt idx="40">
                  <c:v>98.627244384422951</c:v>
                </c:pt>
                <c:pt idx="41">
                  <c:v>100.76758155424154</c:v>
                </c:pt>
                <c:pt idx="42">
                  <c:v>103.69758876088621</c:v>
                </c:pt>
                <c:pt idx="43">
                  <c:v>106.08296389619397</c:v>
                </c:pt>
                <c:pt idx="44">
                  <c:v>108.50560365283376</c:v>
                </c:pt>
                <c:pt idx="45">
                  <c:v>111.00599546335336</c:v>
                </c:pt>
                <c:pt idx="46">
                  <c:v>113.44024818202951</c:v>
                </c:pt>
                <c:pt idx="47">
                  <c:v>116.05431038563431</c:v>
                </c:pt>
                <c:pt idx="48">
                  <c:v>118.68308736953594</c:v>
                </c:pt>
                <c:pt idx="49">
                  <c:v>121.11674967634737</c:v>
                </c:pt>
                <c:pt idx="50">
                  <c:v>124.06309326263575</c:v>
                </c:pt>
                <c:pt idx="51">
                  <c:v>127.02298908541373</c:v>
                </c:pt>
                <c:pt idx="52">
                  <c:v>129.59524080467665</c:v>
                </c:pt>
                <c:pt idx="53">
                  <c:v>131.84186254498175</c:v>
                </c:pt>
                <c:pt idx="54">
                  <c:v>134.92342231544589</c:v>
                </c:pt>
                <c:pt idx="55">
                  <c:v>137.42451223396992</c:v>
                </c:pt>
                <c:pt idx="56">
                  <c:v>139.95863515061035</c:v>
                </c:pt>
                <c:pt idx="57">
                  <c:v>142.67900609355937</c:v>
                </c:pt>
                <c:pt idx="58">
                  <c:v>145.23944433710386</c:v>
                </c:pt>
                <c:pt idx="59">
                  <c:v>147.78179242095692</c:v>
                </c:pt>
                <c:pt idx="60">
                  <c:v>150.53673827362056</c:v>
                </c:pt>
                <c:pt idx="61">
                  <c:v>153.08633147655283</c:v>
                </c:pt>
                <c:pt idx="62">
                  <c:v>156.16239713898852</c:v>
                </c:pt>
                <c:pt idx="63">
                  <c:v>162.07362903205765</c:v>
                </c:pt>
                <c:pt idx="64">
                  <c:v>167.22963559567475</c:v>
                </c:pt>
                <c:pt idx="65">
                  <c:v>171.81911163191432</c:v>
                </c:pt>
                <c:pt idx="66">
                  <c:v>178.24137808801564</c:v>
                </c:pt>
                <c:pt idx="67">
                  <c:v>180.90299303633071</c:v>
                </c:pt>
                <c:pt idx="68">
                  <c:v>183.59177067454505</c:v>
                </c:pt>
                <c:pt idx="69">
                  <c:v>186.36094320224512</c:v>
                </c:pt>
                <c:pt idx="70">
                  <c:v>189.09541062873276</c:v>
                </c:pt>
                <c:pt idx="71">
                  <c:v>192.007566445442</c:v>
                </c:pt>
                <c:pt idx="72">
                  <c:v>194.93838241198929</c:v>
                </c:pt>
                <c:pt idx="73">
                  <c:v>197.64957474871315</c:v>
                </c:pt>
                <c:pt idx="74">
                  <c:v>200.90646343452306</c:v>
                </c:pt>
                <c:pt idx="75">
                  <c:v>204.20130364264105</c:v>
                </c:pt>
                <c:pt idx="76">
                  <c:v>207.06678329582954</c:v>
                </c:pt>
                <c:pt idx="77">
                  <c:v>209.57929339090126</c:v>
                </c:pt>
                <c:pt idx="78">
                  <c:v>213.0399868556558</c:v>
                </c:pt>
                <c:pt idx="79">
                  <c:v>215.83055635894664</c:v>
                </c:pt>
                <c:pt idx="80">
                  <c:v>218.64357275806591</c:v>
                </c:pt>
                <c:pt idx="81">
                  <c:v>221.64560668635974</c:v>
                </c:pt>
                <c:pt idx="82">
                  <c:v>224.52064849125202</c:v>
                </c:pt>
                <c:pt idx="83">
                  <c:v>227.37537738076699</c:v>
                </c:pt>
                <c:pt idx="84">
                  <c:v>230.44683850444753</c:v>
                </c:pt>
                <c:pt idx="85">
                  <c:v>233.28726334726812</c:v>
                </c:pt>
                <c:pt idx="86">
                  <c:v>236.6887580833851</c:v>
                </c:pt>
                <c:pt idx="87">
                  <c:v>240.13956592619184</c:v>
                </c:pt>
                <c:pt idx="88">
                  <c:v>243.14158785111479</c:v>
                </c:pt>
                <c:pt idx="89">
                  <c:v>245.7779094790836</c:v>
                </c:pt>
                <c:pt idx="90">
                  <c:v>249.41514743336361</c:v>
                </c:pt>
                <c:pt idx="91">
                  <c:v>252.34051378085564</c:v>
                </c:pt>
                <c:pt idx="92">
                  <c:v>255.28339758094111</c:v>
                </c:pt>
                <c:pt idx="93">
                  <c:v>258.30919962723368</c:v>
                </c:pt>
                <c:pt idx="94">
                  <c:v>261.33030947639298</c:v>
                </c:pt>
                <c:pt idx="95">
                  <c:v>264.52708251277852</c:v>
                </c:pt>
                <c:pt idx="96">
                  <c:v>267.74628270392952</c:v>
                </c:pt>
                <c:pt idx="97">
                  <c:v>270.72245832784193</c:v>
                </c:pt>
                <c:pt idx="98">
                  <c:v>274.27585280553853</c:v>
                </c:pt>
                <c:pt idx="99">
                  <c:v>277.89049503393073</c:v>
                </c:pt>
                <c:pt idx="100">
                  <c:v>281.035946198136</c:v>
                </c:pt>
                <c:pt idx="101">
                  <c:v>283.80232420902729</c:v>
                </c:pt>
                <c:pt idx="102">
                  <c:v>287.62501126643457</c:v>
                </c:pt>
                <c:pt idx="103">
                  <c:v>290.69197338918241</c:v>
                </c:pt>
                <c:pt idx="104">
                  <c:v>293.77127488828177</c:v>
                </c:pt>
                <c:pt idx="105">
                  <c:v>297.04223821408817</c:v>
                </c:pt>
                <c:pt idx="106">
                  <c:v>300.21766079533637</c:v>
                </c:pt>
                <c:pt idx="107">
                  <c:v>303.37064819318294</c:v>
                </c:pt>
                <c:pt idx="108">
                  <c:v>306.74431537718021</c:v>
                </c:pt>
                <c:pt idx="109">
                  <c:v>309.86242377006698</c:v>
                </c:pt>
                <c:pt idx="110">
                  <c:v>313.57463538867052</c:v>
                </c:pt>
                <c:pt idx="111">
                  <c:v>317.36057289663569</c:v>
                </c:pt>
                <c:pt idx="112">
                  <c:v>320.65598495918346</c:v>
                </c:pt>
                <c:pt idx="113">
                  <c:v>323.55834202229465</c:v>
                </c:pt>
                <c:pt idx="114">
                  <c:v>327.57492339470315</c:v>
                </c:pt>
                <c:pt idx="115">
                  <c:v>330.78992945720216</c:v>
                </c:pt>
                <c:pt idx="116">
                  <c:v>334.01186101413572</c:v>
                </c:pt>
                <c:pt idx="117">
                  <c:v>337.3194818521369</c:v>
                </c:pt>
                <c:pt idx="118">
                  <c:v>340.65536929061182</c:v>
                </c:pt>
                <c:pt idx="119">
                  <c:v>344.16469593107439</c:v>
                </c:pt>
                <c:pt idx="120">
                  <c:v>347.70058647870269</c:v>
                </c:pt>
                <c:pt idx="121">
                  <c:v>350.96775462065449</c:v>
                </c:pt>
                <c:pt idx="122">
                  <c:v>354.84675818830465</c:v>
                </c:pt>
                <c:pt idx="123">
                  <c:v>358.81259235842657</c:v>
                </c:pt>
                <c:pt idx="124">
                  <c:v>362.26549542208727</c:v>
                </c:pt>
                <c:pt idx="125">
                  <c:v>365.31065955891705</c:v>
                </c:pt>
                <c:pt idx="126">
                  <c:v>369.53087141178509</c:v>
                </c:pt>
                <c:pt idx="127">
                  <c:v>372.90135525907885</c:v>
                </c:pt>
                <c:pt idx="128">
                  <c:v>376.27307886744296</c:v>
                </c:pt>
                <c:pt idx="129">
                  <c:v>379.83936814903814</c:v>
                </c:pt>
                <c:pt idx="130">
                  <c:v>383.34465515083087</c:v>
                </c:pt>
                <c:pt idx="131">
                  <c:v>386.82517639161114</c:v>
                </c:pt>
                <c:pt idx="132">
                  <c:v>390.53071243945777</c:v>
                </c:pt>
                <c:pt idx="133">
                  <c:v>393.9537601978011</c:v>
                </c:pt>
                <c:pt idx="134">
                  <c:v>398.00718687563131</c:v>
                </c:pt>
                <c:pt idx="135">
                  <c:v>402.16114844341092</c:v>
                </c:pt>
                <c:pt idx="136">
                  <c:v>405.77874812700151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A3-482A-AB08-63B8F499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939991"/>
        <c:axId val="648944988"/>
      </c:barChart>
      <c:catAx>
        <c:axId val="1210939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8944988"/>
        <c:crosses val="autoZero"/>
        <c:auto val="1"/>
        <c:lblAlgn val="ctr"/>
        <c:lblOffset val="100"/>
        <c:noMultiLvlLbl val="1"/>
      </c:catAx>
      <c:valAx>
        <c:axId val="648944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.00\ [$lei-418]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09399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Win/Year vs.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PlanFinanciar!$K$1</c:f>
              <c:strCache>
                <c:ptCount val="1"/>
                <c:pt idx="0">
                  <c:v>Win/Year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PlanFinanciar!$J$2:$J$13</c:f>
              <c:numCache>
                <c:formatCode>General</c:formatCode>
                <c:ptCount val="12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</c:numCache>
            </c:numRef>
          </c:cat>
          <c:val>
            <c:numRef>
              <c:f>PlanFinanciar!$K$2:$K$13</c:f>
              <c:numCache>
                <c:formatCode>#,##0.00\ [$lei-418]</c:formatCode>
                <c:ptCount val="12"/>
                <c:pt idx="0">
                  <c:v>124.11266576370778</c:v>
                </c:pt>
                <c:pt idx="1">
                  <c:v>491.49623947819452</c:v>
                </c:pt>
                <c:pt idx="2">
                  <c:v>829.94417367934932</c:v>
                </c:pt>
                <c:pt idx="3">
                  <c:v>1183.5269326130754</c:v>
                </c:pt>
                <c:pt idx="4">
                  <c:v>1555.1428896561197</c:v>
                </c:pt>
                <c:pt idx="5">
                  <c:v>2006.7556271480971</c:v>
                </c:pt>
                <c:pt idx="6">
                  <c:v>2484.8013995499546</c:v>
                </c:pt>
                <c:pt idx="7">
                  <c:v>2917.6990542133776</c:v>
                </c:pt>
                <c:pt idx="8">
                  <c:v>3372.431354377632</c:v>
                </c:pt>
                <c:pt idx="9">
                  <c:v>3847.8718195102015</c:v>
                </c:pt>
                <c:pt idx="10">
                  <c:v>4347.1859450650472</c:v>
                </c:pt>
                <c:pt idx="11">
                  <c:v>4869.3449775240178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71-4D1E-AD6C-155E58FB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065155"/>
        <c:axId val="864729286"/>
      </c:barChart>
      <c:catAx>
        <c:axId val="1085065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4729286"/>
        <c:crosses val="autoZero"/>
        <c:auto val="1"/>
        <c:lblAlgn val="ctr"/>
        <c:lblOffset val="100"/>
        <c:noMultiLvlLbl val="1"/>
      </c:catAx>
      <c:valAx>
        <c:axId val="864729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Win/Year</a:t>
                </a:r>
              </a:p>
            </c:rich>
          </c:tx>
          <c:overlay val="0"/>
        </c:title>
        <c:numFmt formatCode="#,##0.00\ [$lei-418]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50651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Earnings_summary!$A$2:$A$11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Earnings_summary!$N$2:$N$11</c:f>
              <c:numCache>
                <c:formatCode>#,##0.00\ [$lei-418]</c:formatCode>
                <c:ptCount val="10"/>
                <c:pt idx="0">
                  <c:v>36.81</c:v>
                </c:pt>
                <c:pt idx="1">
                  <c:v>64.790000000000006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413-45F7-A21C-9CFF93979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62431"/>
        <c:axId val="1314540914"/>
      </c:barChart>
      <c:catAx>
        <c:axId val="6536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540914"/>
        <c:crosses val="autoZero"/>
        <c:auto val="1"/>
        <c:lblAlgn val="ctr"/>
        <c:lblOffset val="100"/>
        <c:noMultiLvlLbl val="1"/>
      </c:catAx>
      <c:valAx>
        <c:axId val="1314540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\ [$lei-418]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3624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Earnings_summary!$A$2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Earnings_summary!$B$1:$M$1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Earnings_summary!$B$2:$M$2</c:f>
              <c:numCache>
                <c:formatCode>#,##0.00\ [$lei-418]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_(* #,##0.00_)\ [$lei-418]_);\(#,##0.00\)\ [$lei-418]_);_(* &quot;-&quot;??_)\ [$lei-418]_);_(@">
                  <c:v>7.4900000000000011</c:v>
                </c:pt>
                <c:pt idx="9" formatCode="_(* #,##0.00_)\ [$lei-418]_);\(#,##0.00\)\ [$lei-418]_);_(* &quot;-&quot;??_)\ [$lei-418]_);_(@">
                  <c:v>4.1900000000000004</c:v>
                </c:pt>
                <c:pt idx="10" formatCode="_(* #,##0.00_)\ [$lei-418]_);\(#,##0.00\)\ [$lei-418]_);_(* &quot;-&quot;??_)\ [$lei-418]_);_(@">
                  <c:v>7.75</c:v>
                </c:pt>
                <c:pt idx="11" formatCode="_(* #,##0.00_)\ [$lei-418]_);\(#,##0.00\)\ [$lei-418]_);_(* &quot;-&quot;??_)\ [$lei-418]_);_(@">
                  <c:v>17.38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14-40D5-8B42-84ECF5BFD749}"/>
            </c:ext>
          </c:extLst>
        </c:ser>
        <c:ser>
          <c:idx val="1"/>
          <c:order val="1"/>
          <c:tx>
            <c:strRef>
              <c:f>Earnings_summary!$A$3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Earnings_summary!$B$1:$M$1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Earnings_summary!$B$3:$M$3</c:f>
              <c:numCache>
                <c:formatCode>_(* #,##0.00_)\ [$lei-418]_);\(#,##0.00\)\ [$lei-418]_);_(* "-"??_)\ [$lei-418]_);_(@</c:formatCode>
                <c:ptCount val="12"/>
                <c:pt idx="0">
                  <c:v>8.1300000000000008</c:v>
                </c:pt>
                <c:pt idx="1">
                  <c:v>14.629999999999999</c:v>
                </c:pt>
                <c:pt idx="2">
                  <c:v>24.19</c:v>
                </c:pt>
                <c:pt idx="3">
                  <c:v>14.169999999999998</c:v>
                </c:pt>
                <c:pt idx="4">
                  <c:v>3.6699999999999995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14-40D5-8B42-84ECF5BF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727952"/>
        <c:axId val="1145567337"/>
      </c:barChart>
      <c:catAx>
        <c:axId val="42372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5567337"/>
        <c:crosses val="autoZero"/>
        <c:auto val="1"/>
        <c:lblAlgn val="ctr"/>
        <c:lblOffset val="100"/>
        <c:noMultiLvlLbl val="1"/>
      </c:catAx>
      <c:valAx>
        <c:axId val="1145567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\ [$lei-418]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37279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'Year - ROI'!$B$1</c:f>
              <c:strCache>
                <c:ptCount val="1"/>
                <c:pt idx="0">
                  <c:v>ROI 2022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- ROI'!$A$2:$A$63</c:f>
              <c:strCache>
                <c:ptCount val="62"/>
                <c:pt idx="0">
                  <c:v>AMD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  <c:pt idx="8">
                  <c:v>#REF!</c:v>
                </c:pt>
                <c:pt idx="9">
                  <c:v>#REF!</c:v>
                </c:pt>
                <c:pt idx="10">
                  <c:v>#REF!</c:v>
                </c:pt>
                <c:pt idx="11">
                  <c:v>#REF!</c:v>
                </c:pt>
                <c:pt idx="12">
                  <c:v>#REF!</c:v>
                </c:pt>
                <c:pt idx="13">
                  <c:v>#REF!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#REF!</c:v>
                </c:pt>
                <c:pt idx="20">
                  <c:v>#REF!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#REF!</c:v>
                </c:pt>
                <c:pt idx="25">
                  <c:v>#REF!</c:v>
                </c:pt>
                <c:pt idx="26">
                  <c:v>#REF!</c:v>
                </c:pt>
                <c:pt idx="27">
                  <c:v>#REF!</c:v>
                </c:pt>
                <c:pt idx="28">
                  <c:v>#REF!</c:v>
                </c:pt>
                <c:pt idx="29">
                  <c:v>#REF!</c:v>
                </c:pt>
                <c:pt idx="30">
                  <c:v>#REF!</c:v>
                </c:pt>
                <c:pt idx="31">
                  <c:v>#REF!</c:v>
                </c:pt>
                <c:pt idx="32">
                  <c:v>#REF!</c:v>
                </c:pt>
                <c:pt idx="33">
                  <c:v>#REF!</c:v>
                </c:pt>
                <c:pt idx="34">
                  <c:v>#REF!</c:v>
                </c:pt>
                <c:pt idx="35">
                  <c:v>#REF!</c:v>
                </c:pt>
                <c:pt idx="36">
                  <c:v>#REF!</c:v>
                </c:pt>
                <c:pt idx="37">
                  <c:v>#REF!</c:v>
                </c:pt>
                <c:pt idx="38">
                  <c:v>#REF!</c:v>
                </c:pt>
                <c:pt idx="39">
                  <c:v>#REF!</c:v>
                </c:pt>
                <c:pt idx="40">
                  <c:v>#REF!</c:v>
                </c:pt>
                <c:pt idx="41">
                  <c:v>#REF!</c:v>
                </c:pt>
                <c:pt idx="42">
                  <c:v>#REF!</c:v>
                </c:pt>
                <c:pt idx="43">
                  <c:v>#REF!</c:v>
                </c:pt>
                <c:pt idx="44">
                  <c:v>#REF!</c:v>
                </c:pt>
                <c:pt idx="45">
                  <c:v>#REF!</c:v>
                </c:pt>
                <c:pt idx="46">
                  <c:v>#REF!</c:v>
                </c:pt>
                <c:pt idx="47">
                  <c:v>#REF!</c:v>
                </c:pt>
                <c:pt idx="48">
                  <c:v>#REF!</c:v>
                </c:pt>
                <c:pt idx="49">
                  <c:v>#REF!</c:v>
                </c:pt>
                <c:pt idx="50">
                  <c:v>#REF!</c:v>
                </c:pt>
                <c:pt idx="51">
                  <c:v>#REF!</c:v>
                </c:pt>
                <c:pt idx="52">
                  <c:v>#REF!</c:v>
                </c:pt>
                <c:pt idx="53">
                  <c:v>#REF!</c:v>
                </c:pt>
                <c:pt idx="54">
                  <c:v>#REF!</c:v>
                </c:pt>
                <c:pt idx="55">
                  <c:v>#REF!</c:v>
                </c:pt>
                <c:pt idx="56">
                  <c:v>#REF!</c:v>
                </c:pt>
                <c:pt idx="57">
                  <c:v>#REF!</c:v>
                </c:pt>
                <c:pt idx="58">
                  <c:v>#REF!</c:v>
                </c:pt>
                <c:pt idx="59">
                  <c:v>#REF!</c:v>
                </c:pt>
                <c:pt idx="60">
                  <c:v>#REF!</c:v>
                </c:pt>
                <c:pt idx="61">
                  <c:v>#REF!</c:v>
                </c:pt>
              </c:strCache>
            </c:strRef>
          </c:cat>
          <c:val>
            <c:numRef>
              <c:f>'Year - ROI'!$B$2:$B$63</c:f>
              <c:numCache>
                <c:formatCode>General</c:formatCode>
                <c:ptCount val="62"/>
                <c:pt idx="0">
                  <c:v>2.5963808025177024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B6-4BFF-98F3-5AEC0AB0757F}"/>
            </c:ext>
          </c:extLst>
        </c:ser>
        <c:ser>
          <c:idx val="1"/>
          <c:order val="1"/>
          <c:tx>
            <c:strRef>
              <c:f>'Year - ROI'!$B$1</c:f>
              <c:strCache>
                <c:ptCount val="1"/>
                <c:pt idx="0">
                  <c:v>ROI 2022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'Year - ROI'!$A$2:$A$63</c:f>
              <c:strCache>
                <c:ptCount val="62"/>
                <c:pt idx="0">
                  <c:v>AMD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  <c:pt idx="8">
                  <c:v>#REF!</c:v>
                </c:pt>
                <c:pt idx="9">
                  <c:v>#REF!</c:v>
                </c:pt>
                <c:pt idx="10">
                  <c:v>#REF!</c:v>
                </c:pt>
                <c:pt idx="11">
                  <c:v>#REF!</c:v>
                </c:pt>
                <c:pt idx="12">
                  <c:v>#REF!</c:v>
                </c:pt>
                <c:pt idx="13">
                  <c:v>#REF!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#REF!</c:v>
                </c:pt>
                <c:pt idx="20">
                  <c:v>#REF!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#REF!</c:v>
                </c:pt>
                <c:pt idx="25">
                  <c:v>#REF!</c:v>
                </c:pt>
                <c:pt idx="26">
                  <c:v>#REF!</c:v>
                </c:pt>
                <c:pt idx="27">
                  <c:v>#REF!</c:v>
                </c:pt>
                <c:pt idx="28">
                  <c:v>#REF!</c:v>
                </c:pt>
                <c:pt idx="29">
                  <c:v>#REF!</c:v>
                </c:pt>
                <c:pt idx="30">
                  <c:v>#REF!</c:v>
                </c:pt>
                <c:pt idx="31">
                  <c:v>#REF!</c:v>
                </c:pt>
                <c:pt idx="32">
                  <c:v>#REF!</c:v>
                </c:pt>
                <c:pt idx="33">
                  <c:v>#REF!</c:v>
                </c:pt>
                <c:pt idx="34">
                  <c:v>#REF!</c:v>
                </c:pt>
                <c:pt idx="35">
                  <c:v>#REF!</c:v>
                </c:pt>
                <c:pt idx="36">
                  <c:v>#REF!</c:v>
                </c:pt>
                <c:pt idx="37">
                  <c:v>#REF!</c:v>
                </c:pt>
                <c:pt idx="38">
                  <c:v>#REF!</c:v>
                </c:pt>
                <c:pt idx="39">
                  <c:v>#REF!</c:v>
                </c:pt>
                <c:pt idx="40">
                  <c:v>#REF!</c:v>
                </c:pt>
                <c:pt idx="41">
                  <c:v>#REF!</c:v>
                </c:pt>
                <c:pt idx="42">
                  <c:v>#REF!</c:v>
                </c:pt>
                <c:pt idx="43">
                  <c:v>#REF!</c:v>
                </c:pt>
                <c:pt idx="44">
                  <c:v>#REF!</c:v>
                </c:pt>
                <c:pt idx="45">
                  <c:v>#REF!</c:v>
                </c:pt>
                <c:pt idx="46">
                  <c:v>#REF!</c:v>
                </c:pt>
                <c:pt idx="47">
                  <c:v>#REF!</c:v>
                </c:pt>
                <c:pt idx="48">
                  <c:v>#REF!</c:v>
                </c:pt>
                <c:pt idx="49">
                  <c:v>#REF!</c:v>
                </c:pt>
                <c:pt idx="50">
                  <c:v>#REF!</c:v>
                </c:pt>
                <c:pt idx="51">
                  <c:v>#REF!</c:v>
                </c:pt>
                <c:pt idx="52">
                  <c:v>#REF!</c:v>
                </c:pt>
                <c:pt idx="53">
                  <c:v>#REF!</c:v>
                </c:pt>
                <c:pt idx="54">
                  <c:v>#REF!</c:v>
                </c:pt>
                <c:pt idx="55">
                  <c:v>#REF!</c:v>
                </c:pt>
                <c:pt idx="56">
                  <c:v>#REF!</c:v>
                </c:pt>
                <c:pt idx="57">
                  <c:v>#REF!</c:v>
                </c:pt>
                <c:pt idx="58">
                  <c:v>#REF!</c:v>
                </c:pt>
                <c:pt idx="59">
                  <c:v>#REF!</c:v>
                </c:pt>
                <c:pt idx="60">
                  <c:v>#REF!</c:v>
                </c:pt>
                <c:pt idx="61">
                  <c:v>#REF!</c:v>
                </c:pt>
              </c:strCache>
            </c:strRef>
          </c:cat>
          <c:val>
            <c:numRef>
              <c:f>'Year - ROI'!$B$2:$B$63</c:f>
              <c:numCache>
                <c:formatCode>General</c:formatCode>
                <c:ptCount val="62"/>
                <c:pt idx="0">
                  <c:v>2.5963808025177024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B6-4BFF-98F3-5AEC0AB0757F}"/>
            </c:ext>
          </c:extLst>
        </c:ser>
        <c:ser>
          <c:idx val="2"/>
          <c:order val="2"/>
          <c:tx>
            <c:strRef>
              <c:f>'Year - ROI'!$C$1</c:f>
              <c:strCache>
                <c:ptCount val="1"/>
                <c:pt idx="0">
                  <c:v>ROI 2023</c:v>
                </c:pt>
              </c:strCache>
            </c:strRef>
          </c:tx>
          <c:invertIfNegative val="1"/>
          <c:cat>
            <c:strRef>
              <c:f>'Year - ROI'!$A$2:$A$63</c:f>
              <c:strCache>
                <c:ptCount val="62"/>
                <c:pt idx="0">
                  <c:v>AMD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  <c:pt idx="7">
                  <c:v>#REF!</c:v>
                </c:pt>
                <c:pt idx="8">
                  <c:v>#REF!</c:v>
                </c:pt>
                <c:pt idx="9">
                  <c:v>#REF!</c:v>
                </c:pt>
                <c:pt idx="10">
                  <c:v>#REF!</c:v>
                </c:pt>
                <c:pt idx="11">
                  <c:v>#REF!</c:v>
                </c:pt>
                <c:pt idx="12">
                  <c:v>#REF!</c:v>
                </c:pt>
                <c:pt idx="13">
                  <c:v>#REF!</c:v>
                </c:pt>
                <c:pt idx="14">
                  <c:v>#REF!</c:v>
                </c:pt>
                <c:pt idx="15">
                  <c:v>#REF!</c:v>
                </c:pt>
                <c:pt idx="16">
                  <c:v>#REF!</c:v>
                </c:pt>
                <c:pt idx="17">
                  <c:v>#REF!</c:v>
                </c:pt>
                <c:pt idx="18">
                  <c:v>#REF!</c:v>
                </c:pt>
                <c:pt idx="19">
                  <c:v>#REF!</c:v>
                </c:pt>
                <c:pt idx="20">
                  <c:v>#REF!</c:v>
                </c:pt>
                <c:pt idx="21">
                  <c:v>#REF!</c:v>
                </c:pt>
                <c:pt idx="22">
                  <c:v>#REF!</c:v>
                </c:pt>
                <c:pt idx="23">
                  <c:v>#REF!</c:v>
                </c:pt>
                <c:pt idx="24">
                  <c:v>#REF!</c:v>
                </c:pt>
                <c:pt idx="25">
                  <c:v>#REF!</c:v>
                </c:pt>
                <c:pt idx="26">
                  <c:v>#REF!</c:v>
                </c:pt>
                <c:pt idx="27">
                  <c:v>#REF!</c:v>
                </c:pt>
                <c:pt idx="28">
                  <c:v>#REF!</c:v>
                </c:pt>
                <c:pt idx="29">
                  <c:v>#REF!</c:v>
                </c:pt>
                <c:pt idx="30">
                  <c:v>#REF!</c:v>
                </c:pt>
                <c:pt idx="31">
                  <c:v>#REF!</c:v>
                </c:pt>
                <c:pt idx="32">
                  <c:v>#REF!</c:v>
                </c:pt>
                <c:pt idx="33">
                  <c:v>#REF!</c:v>
                </c:pt>
                <c:pt idx="34">
                  <c:v>#REF!</c:v>
                </c:pt>
                <c:pt idx="35">
                  <c:v>#REF!</c:v>
                </c:pt>
                <c:pt idx="36">
                  <c:v>#REF!</c:v>
                </c:pt>
                <c:pt idx="37">
                  <c:v>#REF!</c:v>
                </c:pt>
                <c:pt idx="38">
                  <c:v>#REF!</c:v>
                </c:pt>
                <c:pt idx="39">
                  <c:v>#REF!</c:v>
                </c:pt>
                <c:pt idx="40">
                  <c:v>#REF!</c:v>
                </c:pt>
                <c:pt idx="41">
                  <c:v>#REF!</c:v>
                </c:pt>
                <c:pt idx="42">
                  <c:v>#REF!</c:v>
                </c:pt>
                <c:pt idx="43">
                  <c:v>#REF!</c:v>
                </c:pt>
                <c:pt idx="44">
                  <c:v>#REF!</c:v>
                </c:pt>
                <c:pt idx="45">
                  <c:v>#REF!</c:v>
                </c:pt>
                <c:pt idx="46">
                  <c:v>#REF!</c:v>
                </c:pt>
                <c:pt idx="47">
                  <c:v>#REF!</c:v>
                </c:pt>
                <c:pt idx="48">
                  <c:v>#REF!</c:v>
                </c:pt>
                <c:pt idx="49">
                  <c:v>#REF!</c:v>
                </c:pt>
                <c:pt idx="50">
                  <c:v>#REF!</c:v>
                </c:pt>
                <c:pt idx="51">
                  <c:v>#REF!</c:v>
                </c:pt>
                <c:pt idx="52">
                  <c:v>#REF!</c:v>
                </c:pt>
                <c:pt idx="53">
                  <c:v>#REF!</c:v>
                </c:pt>
                <c:pt idx="54">
                  <c:v>#REF!</c:v>
                </c:pt>
                <c:pt idx="55">
                  <c:v>#REF!</c:v>
                </c:pt>
                <c:pt idx="56">
                  <c:v>#REF!</c:v>
                </c:pt>
                <c:pt idx="57">
                  <c:v>#REF!</c:v>
                </c:pt>
                <c:pt idx="58">
                  <c:v>#REF!</c:v>
                </c:pt>
                <c:pt idx="59">
                  <c:v>#REF!</c:v>
                </c:pt>
                <c:pt idx="60">
                  <c:v>#REF!</c:v>
                </c:pt>
                <c:pt idx="61">
                  <c:v>#REF!</c:v>
                </c:pt>
              </c:strCache>
            </c:strRef>
          </c:cat>
          <c:val>
            <c:numRef>
              <c:f>'Year - ROI'!$C$2:$C$63</c:f>
              <c:numCache>
                <c:formatCode>General</c:formatCode>
                <c:ptCount val="62"/>
                <c:pt idx="0">
                  <c:v>6.45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6-4BFF-98F3-5AEC0AB0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37431"/>
        <c:axId val="528733968"/>
      </c:barChart>
      <c:catAx>
        <c:axId val="221037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8733968"/>
        <c:crosses val="autoZero"/>
        <c:auto val="1"/>
        <c:lblAlgn val="ctr"/>
        <c:lblOffset val="100"/>
        <c:noMultiLvlLbl val="1"/>
      </c:catAx>
      <c:valAx>
        <c:axId val="528733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10374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Q1 (ian - mar), Q2 (apr - iun), Q3 (iul - sep), Q4 (oct - dec) și TOTAL 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'2023'!$B$38</c:f>
              <c:strCache>
                <c:ptCount val="1"/>
                <c:pt idx="0">
                  <c:v>Q1 (ian - mar)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'2023'!$B$39:$B$100</c:f>
              <c:numCache>
                <c:formatCode>_(* #,##0.00_)\ [$lei-418]_);\(#,##0.00\)\ [$lei-418]_);_(* "-"??_)\ [$lei-418]_);_(@</c:formatCode>
                <c:ptCount val="62"/>
                <c:pt idx="0">
                  <c:v>2.58</c:v>
                </c:pt>
                <c:pt idx="1">
                  <c:v>0.56000000000000005</c:v>
                </c:pt>
                <c:pt idx="2">
                  <c:v>0.04</c:v>
                </c:pt>
                <c:pt idx="3" formatCode="General">
                  <c:v>0</c:v>
                </c:pt>
                <c:pt idx="4">
                  <c:v>1.29</c:v>
                </c:pt>
                <c:pt idx="5">
                  <c:v>0.1</c:v>
                </c:pt>
                <c:pt idx="6" formatCode="General">
                  <c:v>0</c:v>
                </c:pt>
                <c:pt idx="7">
                  <c:v>1.5</c:v>
                </c:pt>
                <c:pt idx="8">
                  <c:v>0.74</c:v>
                </c:pt>
                <c:pt idx="9">
                  <c:v>0.62</c:v>
                </c:pt>
                <c:pt idx="10">
                  <c:v>0.95</c:v>
                </c:pt>
                <c:pt idx="11">
                  <c:v>0.69</c:v>
                </c:pt>
                <c:pt idx="12">
                  <c:v>0.3</c:v>
                </c:pt>
                <c:pt idx="13">
                  <c:v>0.37</c:v>
                </c:pt>
                <c:pt idx="14">
                  <c:v>0.15</c:v>
                </c:pt>
                <c:pt idx="15">
                  <c:v>0.31</c:v>
                </c:pt>
                <c:pt idx="16">
                  <c:v>0.11</c:v>
                </c:pt>
                <c:pt idx="17">
                  <c:v>0.36</c:v>
                </c:pt>
                <c:pt idx="18">
                  <c:v>0.74</c:v>
                </c:pt>
                <c:pt idx="19">
                  <c:v>1.44</c:v>
                </c:pt>
                <c:pt idx="20">
                  <c:v>0.42</c:v>
                </c:pt>
                <c:pt idx="21">
                  <c:v>0.84</c:v>
                </c:pt>
                <c:pt idx="22">
                  <c:v>1.1100000000000001</c:v>
                </c:pt>
                <c:pt idx="23">
                  <c:v>1.32</c:v>
                </c:pt>
                <c:pt idx="24">
                  <c:v>0.82</c:v>
                </c:pt>
                <c:pt idx="25">
                  <c:v>0.39</c:v>
                </c:pt>
                <c:pt idx="26">
                  <c:v>1.47</c:v>
                </c:pt>
                <c:pt idx="27">
                  <c:v>0.08</c:v>
                </c:pt>
                <c:pt idx="28">
                  <c:v>2.3199999999999998</c:v>
                </c:pt>
                <c:pt idx="29">
                  <c:v>0.68</c:v>
                </c:pt>
                <c:pt idx="30">
                  <c:v>0.2</c:v>
                </c:pt>
                <c:pt idx="31">
                  <c:v>0.12</c:v>
                </c:pt>
                <c:pt idx="32">
                  <c:v>0.24</c:v>
                </c:pt>
                <c:pt idx="33">
                  <c:v>0.26</c:v>
                </c:pt>
                <c:pt idx="34">
                  <c:v>0.26</c:v>
                </c:pt>
                <c:pt idx="35">
                  <c:v>0.12</c:v>
                </c:pt>
                <c:pt idx="36">
                  <c:v>0.22</c:v>
                </c:pt>
                <c:pt idx="37">
                  <c:v>3.95</c:v>
                </c:pt>
                <c:pt idx="38">
                  <c:v>0.12</c:v>
                </c:pt>
                <c:pt idx="39">
                  <c:v>1.22</c:v>
                </c:pt>
                <c:pt idx="40">
                  <c:v>0.59</c:v>
                </c:pt>
                <c:pt idx="41">
                  <c:v>1.66</c:v>
                </c:pt>
                <c:pt idx="42">
                  <c:v>0.92</c:v>
                </c:pt>
                <c:pt idx="43">
                  <c:v>1.36</c:v>
                </c:pt>
                <c:pt idx="44">
                  <c:v>2.38</c:v>
                </c:pt>
                <c:pt idx="45">
                  <c:v>2.36</c:v>
                </c:pt>
                <c:pt idx="46">
                  <c:v>0.3</c:v>
                </c:pt>
                <c:pt idx="47">
                  <c:v>0.21</c:v>
                </c:pt>
                <c:pt idx="48">
                  <c:v>0.18</c:v>
                </c:pt>
                <c:pt idx="49">
                  <c:v>0.05</c:v>
                </c:pt>
                <c:pt idx="50">
                  <c:v>0.79</c:v>
                </c:pt>
                <c:pt idx="51">
                  <c:v>0.37</c:v>
                </c:pt>
                <c:pt idx="52">
                  <c:v>0.41</c:v>
                </c:pt>
                <c:pt idx="53">
                  <c:v>0.54</c:v>
                </c:pt>
                <c:pt idx="54">
                  <c:v>0.93</c:v>
                </c:pt>
                <c:pt idx="55">
                  <c:v>0.75</c:v>
                </c:pt>
                <c:pt idx="56">
                  <c:v>0.6</c:v>
                </c:pt>
                <c:pt idx="57">
                  <c:v>0.55000000000000004</c:v>
                </c:pt>
                <c:pt idx="58">
                  <c:v>0.3</c:v>
                </c:pt>
                <c:pt idx="59">
                  <c:v>0.12</c:v>
                </c:pt>
                <c:pt idx="60">
                  <c:v>0.81</c:v>
                </c:pt>
                <c:pt idx="6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10-463B-91B5-4D6F08A9C14B}"/>
            </c:ext>
          </c:extLst>
        </c:ser>
        <c:ser>
          <c:idx val="1"/>
          <c:order val="1"/>
          <c:tx>
            <c:strRef>
              <c:f>'2023'!$C$38</c:f>
              <c:strCache>
                <c:ptCount val="1"/>
                <c:pt idx="0">
                  <c:v>Q2 (apr - iun)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'2023'!$C$39:$C$100</c:f>
              <c:numCache>
                <c:formatCode>_(* #,##0.00_)\ [$lei-418]_);\(#,##0.00\)\ [$lei-418]_);_(* "-"??_)\ [$lei-418]_);_(@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0.59</c:v>
                </c:pt>
                <c:pt idx="4">
                  <c:v>0</c:v>
                </c:pt>
                <c:pt idx="5">
                  <c:v>0</c:v>
                </c:pt>
                <c:pt idx="6">
                  <c:v>0.65</c:v>
                </c:pt>
                <c:pt idx="7">
                  <c:v>2.0699999999999998</c:v>
                </c:pt>
                <c:pt idx="8">
                  <c:v>1.1299999999999999</c:v>
                </c:pt>
                <c:pt idx="9">
                  <c:v>0.94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0.35</c:v>
                </c:pt>
                <c:pt idx="15">
                  <c:v>0</c:v>
                </c:pt>
                <c:pt idx="16">
                  <c:v>0.23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0.56000000000000005</c:v>
                </c:pt>
                <c:pt idx="26">
                  <c:v>0</c:v>
                </c:pt>
                <c:pt idx="27">
                  <c:v>0.19</c:v>
                </c:pt>
                <c:pt idx="28">
                  <c:v>0.38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2.02</c:v>
                </c:pt>
                <c:pt idx="38">
                  <c:v>0.28999999999999998</c:v>
                </c:pt>
                <c:pt idx="39">
                  <c:v>0</c:v>
                </c:pt>
                <c:pt idx="40">
                  <c:v>0.8</c:v>
                </c:pt>
                <c:pt idx="41">
                  <c:v>0.79</c:v>
                </c:pt>
                <c:pt idx="42">
                  <c:v>0</c:v>
                </c:pt>
                <c:pt idx="43">
                  <c:v>0</c:v>
                </c:pt>
                <c:pt idx="44">
                  <c:v>3.35</c:v>
                </c:pt>
                <c:pt idx="45">
                  <c:v>0</c:v>
                </c:pt>
                <c:pt idx="46">
                  <c:v>0</c:v>
                </c:pt>
                <c:pt idx="47">
                  <c:v>0.27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1.39</c:v>
                </c:pt>
                <c:pt idx="55">
                  <c:v>1.1499999999999999</c:v>
                </c:pt>
                <c:pt idx="56">
                  <c:v>0</c:v>
                </c:pt>
                <c:pt idx="57">
                  <c:v>0</c:v>
                </c:pt>
                <c:pt idx="58">
                  <c:v>0.57999999999999996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010-463B-91B5-4D6F08A9C14B}"/>
            </c:ext>
          </c:extLst>
        </c:ser>
        <c:ser>
          <c:idx val="2"/>
          <c:order val="2"/>
          <c:tx>
            <c:strRef>
              <c:f>'2023'!$D$38</c:f>
              <c:strCache>
                <c:ptCount val="1"/>
                <c:pt idx="0">
                  <c:v>Q3 (iul - sep)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'2023'!$D$39:$D$100</c:f>
              <c:numCache>
                <c:formatCode>_(* #,##0.00_)\ [$lei-418]_);\(#,##0.00\)\ [$lei-418]_);_(* "-"??_)\ [$lei-418]_);_(@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010-463B-91B5-4D6F08A9C14B}"/>
            </c:ext>
          </c:extLst>
        </c:ser>
        <c:ser>
          <c:idx val="3"/>
          <c:order val="3"/>
          <c:tx>
            <c:strRef>
              <c:f>'2023'!$E$38</c:f>
              <c:strCache>
                <c:ptCount val="1"/>
                <c:pt idx="0">
                  <c:v>Q4 (oct - dec)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'2023'!$E$39:$E$100</c:f>
              <c:numCache>
                <c:formatCode>_(* #,##0.00_)\ [$lei-418]_);\(#,##0.00\)\ [$lei-418]_);_(* "-"??_)\ [$lei-418]_);_(@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010-463B-91B5-4D6F08A9C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071469"/>
        <c:axId val="2047082187"/>
      </c:barChart>
      <c:catAx>
        <c:axId val="392071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7082187"/>
        <c:crosses val="autoZero"/>
        <c:auto val="1"/>
        <c:lblAlgn val="ctr"/>
        <c:lblOffset val="100"/>
        <c:noMultiLvlLbl val="1"/>
      </c:catAx>
      <c:valAx>
        <c:axId val="2047082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.00_)\ [$lei-418]_);\(#,##0.00\)\ [$lei-418]_);_(* &quot;-&quot;??_)\ [$lei-418]_);_(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20714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'2023'!$F$38</c:f>
              <c:strCache>
                <c:ptCount val="1"/>
                <c:pt idx="0">
                  <c:v>TOTAL  YEAR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'2023'!$A$39:$A$100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'2023'!$F$39:$F$100</c:f>
              <c:numCache>
                <c:formatCode>_(* #,##0.00_)\ [$lei-418]_);\(#,##0.00\)\ [$lei-418]_);_(* "-"??_)\ [$lei-418]_);_(@</c:formatCode>
                <c:ptCount val="62"/>
                <c:pt idx="0">
                  <c:v>2.58</c:v>
                </c:pt>
                <c:pt idx="1">
                  <c:v>0.56000000000000005</c:v>
                </c:pt>
                <c:pt idx="2">
                  <c:v>0.15</c:v>
                </c:pt>
                <c:pt idx="3">
                  <c:v>0.59</c:v>
                </c:pt>
                <c:pt idx="4">
                  <c:v>1.29</c:v>
                </c:pt>
                <c:pt idx="5">
                  <c:v>0.1</c:v>
                </c:pt>
                <c:pt idx="6">
                  <c:v>0.65</c:v>
                </c:pt>
                <c:pt idx="7">
                  <c:v>3.57</c:v>
                </c:pt>
                <c:pt idx="8">
                  <c:v>1.8699999999999999</c:v>
                </c:pt>
                <c:pt idx="9">
                  <c:v>1.56</c:v>
                </c:pt>
                <c:pt idx="10">
                  <c:v>0.95</c:v>
                </c:pt>
                <c:pt idx="11">
                  <c:v>0.69</c:v>
                </c:pt>
                <c:pt idx="12">
                  <c:v>0.3</c:v>
                </c:pt>
                <c:pt idx="13">
                  <c:v>0.37</c:v>
                </c:pt>
                <c:pt idx="14">
                  <c:v>0.5</c:v>
                </c:pt>
                <c:pt idx="15">
                  <c:v>0.31</c:v>
                </c:pt>
                <c:pt idx="16">
                  <c:v>0.34</c:v>
                </c:pt>
                <c:pt idx="17">
                  <c:v>0.36</c:v>
                </c:pt>
                <c:pt idx="18">
                  <c:v>0.74</c:v>
                </c:pt>
                <c:pt idx="19">
                  <c:v>1.44</c:v>
                </c:pt>
                <c:pt idx="20">
                  <c:v>0.42</c:v>
                </c:pt>
                <c:pt idx="21">
                  <c:v>0.84</c:v>
                </c:pt>
                <c:pt idx="22">
                  <c:v>1.1100000000000001</c:v>
                </c:pt>
                <c:pt idx="23">
                  <c:v>1.32</c:v>
                </c:pt>
                <c:pt idx="24">
                  <c:v>0.82</c:v>
                </c:pt>
                <c:pt idx="25">
                  <c:v>0.95000000000000007</c:v>
                </c:pt>
                <c:pt idx="26">
                  <c:v>1.47</c:v>
                </c:pt>
                <c:pt idx="27">
                  <c:v>0.27</c:v>
                </c:pt>
                <c:pt idx="28">
                  <c:v>2.6999999999999997</c:v>
                </c:pt>
                <c:pt idx="29">
                  <c:v>0.68</c:v>
                </c:pt>
                <c:pt idx="30">
                  <c:v>0.2</c:v>
                </c:pt>
                <c:pt idx="31">
                  <c:v>0.12</c:v>
                </c:pt>
                <c:pt idx="32">
                  <c:v>0.24</c:v>
                </c:pt>
                <c:pt idx="33">
                  <c:v>0.26</c:v>
                </c:pt>
                <c:pt idx="34">
                  <c:v>0.26</c:v>
                </c:pt>
                <c:pt idx="35">
                  <c:v>0.12</c:v>
                </c:pt>
                <c:pt idx="36">
                  <c:v>0.22</c:v>
                </c:pt>
                <c:pt idx="37">
                  <c:v>5.9700000000000006</c:v>
                </c:pt>
                <c:pt idx="38">
                  <c:v>0.41</c:v>
                </c:pt>
                <c:pt idx="39">
                  <c:v>1.22</c:v>
                </c:pt>
                <c:pt idx="40">
                  <c:v>1.3900000000000001</c:v>
                </c:pt>
                <c:pt idx="41">
                  <c:v>2.4500000000000002</c:v>
                </c:pt>
                <c:pt idx="42">
                  <c:v>0.92</c:v>
                </c:pt>
                <c:pt idx="43">
                  <c:v>1.36</c:v>
                </c:pt>
                <c:pt idx="44">
                  <c:v>5.73</c:v>
                </c:pt>
                <c:pt idx="45">
                  <c:v>2.36</c:v>
                </c:pt>
                <c:pt idx="46">
                  <c:v>0.3</c:v>
                </c:pt>
                <c:pt idx="47">
                  <c:v>0.48</c:v>
                </c:pt>
                <c:pt idx="48">
                  <c:v>0.18</c:v>
                </c:pt>
                <c:pt idx="49">
                  <c:v>0.05</c:v>
                </c:pt>
                <c:pt idx="50">
                  <c:v>0.79</c:v>
                </c:pt>
                <c:pt idx="51">
                  <c:v>0.37</c:v>
                </c:pt>
                <c:pt idx="52">
                  <c:v>0.41</c:v>
                </c:pt>
                <c:pt idx="53">
                  <c:v>0.54</c:v>
                </c:pt>
                <c:pt idx="54">
                  <c:v>2.3199999999999998</c:v>
                </c:pt>
                <c:pt idx="55">
                  <c:v>1.9</c:v>
                </c:pt>
                <c:pt idx="56">
                  <c:v>0.6</c:v>
                </c:pt>
                <c:pt idx="57">
                  <c:v>0.55000000000000004</c:v>
                </c:pt>
                <c:pt idx="58">
                  <c:v>0.87999999999999989</c:v>
                </c:pt>
                <c:pt idx="59">
                  <c:v>0.12</c:v>
                </c:pt>
                <c:pt idx="60">
                  <c:v>0.81</c:v>
                </c:pt>
                <c:pt idx="61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FE-4B9F-BD21-BBD1F907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373660"/>
        <c:axId val="562203198"/>
      </c:barChart>
      <c:catAx>
        <c:axId val="1712373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2203198"/>
        <c:crosses val="autoZero"/>
        <c:auto val="1"/>
        <c:lblAlgn val="ctr"/>
        <c:lblOffset val="100"/>
        <c:noMultiLvlLbl val="1"/>
      </c:catAx>
      <c:valAx>
        <c:axId val="562203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 YEAR</a:t>
                </a:r>
              </a:p>
            </c:rich>
          </c:tx>
          <c:overlay val="0"/>
        </c:title>
        <c:numFmt formatCode="_(* #,##0.00_)\ [$lei-418]_);\(#,##0.00\)\ [$lei-418]_);_(* &quot;-&quot;??_)\ [$lei-418]_);_(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23736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 (ian - mar), Q2 (apr - iun), Q3 (iul - sep) și Q4 (oct - dec)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'2022'!$B$36</c:f>
              <c:strCache>
                <c:ptCount val="1"/>
                <c:pt idx="0">
                  <c:v>Q1 (ian - mar)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'2022'!$B$37:$B$98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36-4EAC-B1E4-F15CD495488A}"/>
            </c:ext>
          </c:extLst>
        </c:ser>
        <c:ser>
          <c:idx val="1"/>
          <c:order val="1"/>
          <c:tx>
            <c:strRef>
              <c:f>'2022'!$C$36</c:f>
              <c:strCache>
                <c:ptCount val="1"/>
                <c:pt idx="0">
                  <c:v>Q2 (apr - iun)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'2022'!$C$37:$C$98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836-4EAC-B1E4-F15CD495488A}"/>
            </c:ext>
          </c:extLst>
        </c:ser>
        <c:ser>
          <c:idx val="2"/>
          <c:order val="2"/>
          <c:tx>
            <c:strRef>
              <c:f>'2022'!$D$36</c:f>
              <c:strCache>
                <c:ptCount val="1"/>
                <c:pt idx="0">
                  <c:v>Q3 (iul - sep)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'2022'!$D$37:$D$98</c:f>
              <c:numCache>
                <c:formatCode>_(* #,##0.00_)\ [$lei-418]_);\(#,##0.00\)\ [$lei-418]_);_(* "-"??_)\ [$lei-418]_);_(@</c:formatCode>
                <c:ptCount val="62"/>
                <c:pt idx="0">
                  <c:v>0.64</c:v>
                </c:pt>
                <c:pt idx="1">
                  <c:v>0.37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0.15</c:v>
                </c:pt>
                <c:pt idx="5">
                  <c:v>0.03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0.23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1.42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0.99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0.11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>
                  <c:v>0.05</c:v>
                </c:pt>
                <c:pt idx="38" formatCode="General">
                  <c:v>0</c:v>
                </c:pt>
                <c:pt idx="39">
                  <c:v>0.26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>
                  <c:v>0.32</c:v>
                </c:pt>
                <c:pt idx="44" formatCode="General">
                  <c:v>0</c:v>
                </c:pt>
                <c:pt idx="45" formatCode="General">
                  <c:v>0</c:v>
                </c:pt>
                <c:pt idx="46">
                  <c:v>0.13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836-4EAC-B1E4-F15CD495488A}"/>
            </c:ext>
          </c:extLst>
        </c:ser>
        <c:ser>
          <c:idx val="3"/>
          <c:order val="3"/>
          <c:tx>
            <c:strRef>
              <c:f>'2022'!$E$36</c:f>
              <c:strCache>
                <c:ptCount val="1"/>
                <c:pt idx="0">
                  <c:v>Q4 (oct - dec)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'2022'!$E$37:$E$98</c:f>
              <c:numCache>
                <c:formatCode>_(* #,##0.00_)\ [$lei-418]_);\(#,##0.00\)\ [$lei-418]_);_(* "-"??_)\ [$lei-418]_);_(@</c:formatCode>
                <c:ptCount val="62"/>
                <c:pt idx="0">
                  <c:v>1.67</c:v>
                </c:pt>
                <c:pt idx="1">
                  <c:v>0.45</c:v>
                </c:pt>
                <c:pt idx="2" formatCode="General">
                  <c:v>0</c:v>
                </c:pt>
                <c:pt idx="3">
                  <c:v>0.3</c:v>
                </c:pt>
                <c:pt idx="4">
                  <c:v>0.53</c:v>
                </c:pt>
                <c:pt idx="5">
                  <c:v>0.06</c:v>
                </c:pt>
                <c:pt idx="6">
                  <c:v>0.85</c:v>
                </c:pt>
                <c:pt idx="7">
                  <c:v>0.67</c:v>
                </c:pt>
                <c:pt idx="8">
                  <c:v>0.36</c:v>
                </c:pt>
                <c:pt idx="9">
                  <c:v>0.37</c:v>
                </c:pt>
                <c:pt idx="10">
                  <c:v>0.54</c:v>
                </c:pt>
                <c:pt idx="11" formatCode="General">
                  <c:v>0</c:v>
                </c:pt>
                <c:pt idx="12">
                  <c:v>0.2</c:v>
                </c:pt>
                <c:pt idx="13">
                  <c:v>0.27</c:v>
                </c:pt>
                <c:pt idx="14" formatCode="General">
                  <c:v>0</c:v>
                </c:pt>
                <c:pt idx="15">
                  <c:v>0.12</c:v>
                </c:pt>
                <c:pt idx="16" formatCode="General">
                  <c:v>0</c:v>
                </c:pt>
                <c:pt idx="17">
                  <c:v>1.73</c:v>
                </c:pt>
                <c:pt idx="18">
                  <c:v>0.35</c:v>
                </c:pt>
                <c:pt idx="19">
                  <c:v>0.46</c:v>
                </c:pt>
                <c:pt idx="20">
                  <c:v>0.1</c:v>
                </c:pt>
                <c:pt idx="21">
                  <c:v>0.2</c:v>
                </c:pt>
                <c:pt idx="22">
                  <c:v>0.38</c:v>
                </c:pt>
                <c:pt idx="23">
                  <c:v>1.0900000000000001</c:v>
                </c:pt>
                <c:pt idx="24" formatCode="General">
                  <c:v>0</c:v>
                </c:pt>
                <c:pt idx="25">
                  <c:v>0.24</c:v>
                </c:pt>
                <c:pt idx="26">
                  <c:v>0.51</c:v>
                </c:pt>
                <c:pt idx="27" formatCode="General">
                  <c:v>0</c:v>
                </c:pt>
                <c:pt idx="28">
                  <c:v>0.76</c:v>
                </c:pt>
                <c:pt idx="29">
                  <c:v>0.19</c:v>
                </c:pt>
                <c:pt idx="30">
                  <c:v>0.14000000000000001</c:v>
                </c:pt>
                <c:pt idx="31">
                  <c:v>0.04</c:v>
                </c:pt>
                <c:pt idx="32">
                  <c:v>0.08</c:v>
                </c:pt>
                <c:pt idx="33">
                  <c:v>0.08</c:v>
                </c:pt>
                <c:pt idx="34">
                  <c:v>0.17</c:v>
                </c:pt>
                <c:pt idx="35">
                  <c:v>0.09</c:v>
                </c:pt>
                <c:pt idx="36">
                  <c:v>0.16</c:v>
                </c:pt>
                <c:pt idx="37">
                  <c:v>1.1400000000000001</c:v>
                </c:pt>
                <c:pt idx="38" formatCode="General">
                  <c:v>0</c:v>
                </c:pt>
                <c:pt idx="39">
                  <c:v>0.54</c:v>
                </c:pt>
                <c:pt idx="40">
                  <c:v>0.34</c:v>
                </c:pt>
                <c:pt idx="41">
                  <c:v>0.64999999999999991</c:v>
                </c:pt>
                <c:pt idx="42">
                  <c:v>0.34</c:v>
                </c:pt>
                <c:pt idx="43">
                  <c:v>0.98</c:v>
                </c:pt>
                <c:pt idx="44">
                  <c:v>1.56</c:v>
                </c:pt>
                <c:pt idx="45">
                  <c:v>1.47</c:v>
                </c:pt>
                <c:pt idx="46">
                  <c:v>0.2</c:v>
                </c:pt>
                <c:pt idx="47">
                  <c:v>0.16</c:v>
                </c:pt>
                <c:pt idx="48">
                  <c:v>0.13</c:v>
                </c:pt>
                <c:pt idx="49">
                  <c:v>0.02</c:v>
                </c:pt>
                <c:pt idx="50">
                  <c:v>0.21</c:v>
                </c:pt>
                <c:pt idx="51">
                  <c:v>0.16</c:v>
                </c:pt>
                <c:pt idx="52">
                  <c:v>0.22</c:v>
                </c:pt>
                <c:pt idx="53">
                  <c:v>0.33</c:v>
                </c:pt>
                <c:pt idx="54">
                  <c:v>0.53</c:v>
                </c:pt>
                <c:pt idx="55">
                  <c:v>0.39</c:v>
                </c:pt>
                <c:pt idx="56">
                  <c:v>0.18</c:v>
                </c:pt>
                <c:pt idx="57">
                  <c:v>0.19</c:v>
                </c:pt>
                <c:pt idx="58" formatCode="General">
                  <c:v>0</c:v>
                </c:pt>
                <c:pt idx="59">
                  <c:v>0.04</c:v>
                </c:pt>
                <c:pt idx="60">
                  <c:v>0.18</c:v>
                </c:pt>
                <c:pt idx="61">
                  <c:v>0.42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836-4EAC-B1E4-F15CD495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261190"/>
        <c:axId val="1152698174"/>
      </c:barChart>
      <c:catAx>
        <c:axId val="1505261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2698174"/>
        <c:crosses val="autoZero"/>
        <c:auto val="1"/>
        <c:lblAlgn val="ctr"/>
        <c:lblOffset val="100"/>
        <c:noMultiLvlLbl val="1"/>
      </c:catAx>
      <c:valAx>
        <c:axId val="115269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52611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Histograma coloanei TOTAL 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'2022'!$F$36</c:f>
              <c:strCache>
                <c:ptCount val="1"/>
                <c:pt idx="0">
                  <c:v>TOTAL  YEAR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'2022'!$A$37:$A$98</c:f>
              <c:strCache>
                <c:ptCount val="62"/>
                <c:pt idx="0">
                  <c:v>CWH</c:v>
                </c:pt>
                <c:pt idx="1">
                  <c:v>MCD</c:v>
                </c:pt>
                <c:pt idx="2">
                  <c:v>GPC</c:v>
                </c:pt>
                <c:pt idx="3">
                  <c:v>LVMH</c:v>
                </c:pt>
                <c:pt idx="4">
                  <c:v>NWL</c:v>
                </c:pt>
                <c:pt idx="5">
                  <c:v>EL</c:v>
                </c:pt>
                <c:pt idx="6">
                  <c:v>KO</c:v>
                </c:pt>
                <c:pt idx="7">
                  <c:v>MO</c:v>
                </c:pt>
                <c:pt idx="8">
                  <c:v>UVV</c:v>
                </c:pt>
                <c:pt idx="9">
                  <c:v>PM</c:v>
                </c:pt>
                <c:pt idx="10">
                  <c:v>BTI</c:v>
                </c:pt>
                <c:pt idx="11">
                  <c:v>PEP</c:v>
                </c:pt>
                <c:pt idx="12">
                  <c:v>CL</c:v>
                </c:pt>
                <c:pt idx="13">
                  <c:v>PG</c:v>
                </c:pt>
                <c:pt idx="14">
                  <c:v>KMB</c:v>
                </c:pt>
                <c:pt idx="15">
                  <c:v>CAG</c:v>
                </c:pt>
                <c:pt idx="16">
                  <c:v>SYY</c:v>
                </c:pt>
                <c:pt idx="17">
                  <c:v>DVN</c:v>
                </c:pt>
                <c:pt idx="18">
                  <c:v>OKE</c:v>
                </c:pt>
                <c:pt idx="19">
                  <c:v>ENB</c:v>
                </c:pt>
                <c:pt idx="20">
                  <c:v>CVX</c:v>
                </c:pt>
                <c:pt idx="21">
                  <c:v>BP</c:v>
                </c:pt>
                <c:pt idx="22">
                  <c:v>TRIG</c:v>
                </c:pt>
                <c:pt idx="23">
                  <c:v>TROW</c:v>
                </c:pt>
                <c:pt idx="24">
                  <c:v>BSIF</c:v>
                </c:pt>
                <c:pt idx="25">
                  <c:v>JPM</c:v>
                </c:pt>
                <c:pt idx="26">
                  <c:v>NYCB</c:v>
                </c:pt>
                <c:pt idx="27">
                  <c:v>CINF</c:v>
                </c:pt>
                <c:pt idx="28">
                  <c:v>AFG</c:v>
                </c:pt>
                <c:pt idx="29">
                  <c:v>ALLY</c:v>
                </c:pt>
                <c:pt idx="30">
                  <c:v>DOV</c:v>
                </c:pt>
                <c:pt idx="31">
                  <c:v>PH</c:v>
                </c:pt>
                <c:pt idx="32">
                  <c:v>EMR</c:v>
                </c:pt>
                <c:pt idx="33">
                  <c:v>CMI</c:v>
                </c:pt>
                <c:pt idx="34">
                  <c:v>GD</c:v>
                </c:pt>
                <c:pt idx="35">
                  <c:v>DE</c:v>
                </c:pt>
                <c:pt idx="36">
                  <c:v>CAT</c:v>
                </c:pt>
                <c:pt idx="37">
                  <c:v>EPR</c:v>
                </c:pt>
                <c:pt idx="38">
                  <c:v>AMT</c:v>
                </c:pt>
                <c:pt idx="39">
                  <c:v>GLPI</c:v>
                </c:pt>
                <c:pt idx="40">
                  <c:v>FRT</c:v>
                </c:pt>
                <c:pt idx="41">
                  <c:v>O</c:v>
                </c:pt>
                <c:pt idx="42">
                  <c:v>NNN</c:v>
                </c:pt>
                <c:pt idx="43">
                  <c:v>SPG</c:v>
                </c:pt>
                <c:pt idx="44">
                  <c:v>GNL</c:v>
                </c:pt>
                <c:pt idx="45">
                  <c:v>ABR</c:v>
                </c:pt>
                <c:pt idx="46">
                  <c:v>QCOM</c:v>
                </c:pt>
                <c:pt idx="47">
                  <c:v>TSM</c:v>
                </c:pt>
                <c:pt idx="48">
                  <c:v>MSFT</c:v>
                </c:pt>
                <c:pt idx="49">
                  <c:v>AAPL</c:v>
                </c:pt>
                <c:pt idx="50">
                  <c:v>IBM</c:v>
                </c:pt>
                <c:pt idx="51">
                  <c:v>JNJ</c:v>
                </c:pt>
                <c:pt idx="52">
                  <c:v>PFE</c:v>
                </c:pt>
                <c:pt idx="53">
                  <c:v>ABBV</c:v>
                </c:pt>
                <c:pt idx="54">
                  <c:v>VZ</c:v>
                </c:pt>
                <c:pt idx="55">
                  <c:v>T</c:v>
                </c:pt>
                <c:pt idx="56">
                  <c:v>SO</c:v>
                </c:pt>
                <c:pt idx="57">
                  <c:v>DUK</c:v>
                </c:pt>
                <c:pt idx="58">
                  <c:v>EIX</c:v>
                </c:pt>
                <c:pt idx="59">
                  <c:v>AWR</c:v>
                </c:pt>
                <c:pt idx="60">
                  <c:v>NWN</c:v>
                </c:pt>
                <c:pt idx="61">
                  <c:v>APD</c:v>
                </c:pt>
              </c:strCache>
            </c:strRef>
          </c:cat>
          <c:val>
            <c:numRef>
              <c:f>'2022'!$F$37:$F$98</c:f>
              <c:numCache>
                <c:formatCode>General</c:formatCode>
                <c:ptCount val="62"/>
                <c:pt idx="0">
                  <c:v>2.31</c:v>
                </c:pt>
                <c:pt idx="1">
                  <c:v>0.82000000000000006</c:v>
                </c:pt>
                <c:pt idx="2">
                  <c:v>0</c:v>
                </c:pt>
                <c:pt idx="3">
                  <c:v>0.3</c:v>
                </c:pt>
                <c:pt idx="4">
                  <c:v>0.68</c:v>
                </c:pt>
                <c:pt idx="5">
                  <c:v>0.09</c:v>
                </c:pt>
                <c:pt idx="6">
                  <c:v>0.85</c:v>
                </c:pt>
                <c:pt idx="7">
                  <c:v>0.67</c:v>
                </c:pt>
                <c:pt idx="8">
                  <c:v>0.36</c:v>
                </c:pt>
                <c:pt idx="9">
                  <c:v>0.37</c:v>
                </c:pt>
                <c:pt idx="10">
                  <c:v>0.54</c:v>
                </c:pt>
                <c:pt idx="11">
                  <c:v>0.23</c:v>
                </c:pt>
                <c:pt idx="12">
                  <c:v>0.2</c:v>
                </c:pt>
                <c:pt idx="13">
                  <c:v>0.27</c:v>
                </c:pt>
                <c:pt idx="14">
                  <c:v>0</c:v>
                </c:pt>
                <c:pt idx="15">
                  <c:v>0.12</c:v>
                </c:pt>
                <c:pt idx="16">
                  <c:v>0</c:v>
                </c:pt>
                <c:pt idx="17">
                  <c:v>3.15</c:v>
                </c:pt>
                <c:pt idx="18">
                  <c:v>0.35</c:v>
                </c:pt>
                <c:pt idx="19">
                  <c:v>0.46</c:v>
                </c:pt>
                <c:pt idx="20">
                  <c:v>0.1</c:v>
                </c:pt>
                <c:pt idx="21">
                  <c:v>0.2</c:v>
                </c:pt>
                <c:pt idx="22">
                  <c:v>0.38</c:v>
                </c:pt>
                <c:pt idx="23">
                  <c:v>2.08</c:v>
                </c:pt>
                <c:pt idx="24">
                  <c:v>0</c:v>
                </c:pt>
                <c:pt idx="25">
                  <c:v>0.24</c:v>
                </c:pt>
                <c:pt idx="26">
                  <c:v>0.51</c:v>
                </c:pt>
                <c:pt idx="27">
                  <c:v>0</c:v>
                </c:pt>
                <c:pt idx="28">
                  <c:v>0.76</c:v>
                </c:pt>
                <c:pt idx="29">
                  <c:v>0.19</c:v>
                </c:pt>
                <c:pt idx="30">
                  <c:v>0.25</c:v>
                </c:pt>
                <c:pt idx="31">
                  <c:v>0.04</c:v>
                </c:pt>
                <c:pt idx="32">
                  <c:v>0.08</c:v>
                </c:pt>
                <c:pt idx="33">
                  <c:v>0.08</c:v>
                </c:pt>
                <c:pt idx="34">
                  <c:v>0.17</c:v>
                </c:pt>
                <c:pt idx="35">
                  <c:v>0.09</c:v>
                </c:pt>
                <c:pt idx="36">
                  <c:v>0.16</c:v>
                </c:pt>
                <c:pt idx="37">
                  <c:v>1.1900000000000002</c:v>
                </c:pt>
                <c:pt idx="38">
                  <c:v>0</c:v>
                </c:pt>
                <c:pt idx="39">
                  <c:v>0.8</c:v>
                </c:pt>
                <c:pt idx="40">
                  <c:v>0.34</c:v>
                </c:pt>
                <c:pt idx="41">
                  <c:v>0.64999999999999991</c:v>
                </c:pt>
                <c:pt idx="42">
                  <c:v>0.34</c:v>
                </c:pt>
                <c:pt idx="43">
                  <c:v>1.3</c:v>
                </c:pt>
                <c:pt idx="44">
                  <c:v>1.56</c:v>
                </c:pt>
                <c:pt idx="45">
                  <c:v>1.47</c:v>
                </c:pt>
                <c:pt idx="46">
                  <c:v>0.33</c:v>
                </c:pt>
                <c:pt idx="47">
                  <c:v>0.16</c:v>
                </c:pt>
                <c:pt idx="48">
                  <c:v>0.13</c:v>
                </c:pt>
                <c:pt idx="49">
                  <c:v>0.02</c:v>
                </c:pt>
                <c:pt idx="50">
                  <c:v>0.21</c:v>
                </c:pt>
                <c:pt idx="51">
                  <c:v>0.16</c:v>
                </c:pt>
                <c:pt idx="52">
                  <c:v>0.22</c:v>
                </c:pt>
                <c:pt idx="53">
                  <c:v>0.33</c:v>
                </c:pt>
                <c:pt idx="54">
                  <c:v>0.53</c:v>
                </c:pt>
                <c:pt idx="55">
                  <c:v>0.39</c:v>
                </c:pt>
                <c:pt idx="56">
                  <c:v>0.18</c:v>
                </c:pt>
                <c:pt idx="57">
                  <c:v>0.19</c:v>
                </c:pt>
                <c:pt idx="58">
                  <c:v>0</c:v>
                </c:pt>
                <c:pt idx="59">
                  <c:v>0.04</c:v>
                </c:pt>
                <c:pt idx="60">
                  <c:v>0.18</c:v>
                </c:pt>
                <c:pt idx="61">
                  <c:v>0.42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52B-4112-8B31-43553E19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752753"/>
        <c:axId val="1883927050"/>
      </c:barChart>
      <c:catAx>
        <c:axId val="932752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3927050"/>
        <c:crosses val="autoZero"/>
        <c:auto val="1"/>
        <c:lblAlgn val="ctr"/>
        <c:lblOffset val="100"/>
        <c:noMultiLvlLbl val="1"/>
      </c:catAx>
      <c:valAx>
        <c:axId val="1883927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7527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1</xdr:row>
      <xdr:rowOff>19050</xdr:rowOff>
    </xdr:from>
    <xdr:ext cx="5715000" cy="34194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28575</xdr:colOff>
      <xdr:row>19</xdr:row>
      <xdr:rowOff>9525</xdr:rowOff>
    </xdr:from>
    <xdr:ext cx="5715000" cy="23145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11</xdr:row>
      <xdr:rowOff>190500</xdr:rowOff>
    </xdr:from>
    <xdr:ext cx="3200400" cy="4181475"/>
    <xdr:graphicFrame macro="">
      <xdr:nvGraphicFramePr>
        <xdr:cNvPr id="3" name="Chart 3" title="Diagramă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11</xdr:row>
      <xdr:rowOff>190500</xdr:rowOff>
    </xdr:from>
    <xdr:ext cx="9629775" cy="41814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63</xdr:row>
      <xdr:rowOff>209550</xdr:rowOff>
    </xdr:from>
    <xdr:ext cx="16354425" cy="3552825"/>
    <xdr:graphicFrame macro="">
      <xdr:nvGraphicFramePr>
        <xdr:cNvPr id="5" name="Chart 5" title="Diagramă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428625</xdr:colOff>
      <xdr:row>62</xdr:row>
      <xdr:rowOff>9525</xdr:rowOff>
    </xdr:from>
    <xdr:ext cx="10172700" cy="4610100"/>
    <xdr:graphicFrame macro="">
      <xdr:nvGraphicFramePr>
        <xdr:cNvPr id="6" name="Chart 6" title="Diagramă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428625</xdr:colOff>
      <xdr:row>37</xdr:row>
      <xdr:rowOff>0</xdr:rowOff>
    </xdr:from>
    <xdr:ext cx="10172700" cy="5133975"/>
    <xdr:graphicFrame macro="">
      <xdr:nvGraphicFramePr>
        <xdr:cNvPr id="7" name="Chart 7" title="Diagramă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60</xdr:row>
      <xdr:rowOff>38100</xdr:rowOff>
    </xdr:from>
    <xdr:ext cx="9486900" cy="4333875"/>
    <xdr:graphicFrame macro="">
      <xdr:nvGraphicFramePr>
        <xdr:cNvPr id="8" name="Chart 8" title="Diagramă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133350</xdr:colOff>
      <xdr:row>35</xdr:row>
      <xdr:rowOff>0</xdr:rowOff>
    </xdr:from>
    <xdr:ext cx="9486900" cy="5210175"/>
    <xdr:graphicFrame macro="">
      <xdr:nvGraphicFramePr>
        <xdr:cNvPr id="9" name="Chart 9" title="Diagramă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510"/>
  <sheetViews>
    <sheetView topLeftCell="A25" workbookViewId="0"/>
  </sheetViews>
  <sheetFormatPr defaultColWidth="12.5703125" defaultRowHeight="15.75" customHeight="1"/>
  <cols>
    <col min="7" max="7" width="8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0</v>
      </c>
      <c r="K1" s="1" t="s">
        <v>9</v>
      </c>
      <c r="L1" s="1"/>
      <c r="M1" s="1" t="s">
        <v>10</v>
      </c>
      <c r="N1" s="1"/>
      <c r="O1" s="1"/>
    </row>
    <row r="2" spans="1:15">
      <c r="A2" s="3">
        <v>2022</v>
      </c>
      <c r="B2" s="4" t="s">
        <v>11</v>
      </c>
      <c r="C2" s="3">
        <f>G2</f>
        <v>742</v>
      </c>
      <c r="D2" s="3">
        <v>4.0999999999999996</v>
      </c>
      <c r="E2" s="5">
        <f>(C2*D2)/100</f>
        <v>30.421999999999997</v>
      </c>
      <c r="F2" s="5">
        <f t="shared" ref="F2:F138" si="0">E2/12</f>
        <v>2.5351666666666666</v>
      </c>
      <c r="G2" s="4">
        <v>742</v>
      </c>
      <c r="H2" s="1">
        <v>0</v>
      </c>
      <c r="I2" s="6">
        <f>SUM(C2,0)</f>
        <v>742</v>
      </c>
      <c r="J2" s="1">
        <f>A2</f>
        <v>2022</v>
      </c>
      <c r="K2" s="7">
        <f>E6</f>
        <v>124.11266576370778</v>
      </c>
      <c r="L2" s="1"/>
      <c r="M2" s="1"/>
      <c r="N2" s="7"/>
      <c r="O2" s="7"/>
    </row>
    <row r="3" spans="1:15">
      <c r="A3" s="8"/>
      <c r="B3" s="4" t="s">
        <v>12</v>
      </c>
      <c r="C3" s="9">
        <f t="shared" ref="C3:C138" si="1">G3+F2</f>
        <v>627.53516666666667</v>
      </c>
      <c r="D3" s="3">
        <v>4.0999999999999996</v>
      </c>
      <c r="E3" s="5">
        <f t="shared" ref="E3:E138" si="2">((C3*D3)/100)+E2</f>
        <v>56.150941833333334</v>
      </c>
      <c r="F3" s="5">
        <f t="shared" si="0"/>
        <v>4.6792451527777779</v>
      </c>
      <c r="G3" s="4">
        <v>625</v>
      </c>
      <c r="H3" s="7">
        <f t="shared" ref="H3:H138" si="3">F3-F2</f>
        <v>2.1440784861111113</v>
      </c>
      <c r="I3" s="7">
        <f t="shared" ref="I3:I138" si="4">SUM(C3,I2)</f>
        <v>1369.5351666666666</v>
      </c>
      <c r="J3" s="6">
        <f>A7</f>
        <v>2023</v>
      </c>
      <c r="K3" s="7">
        <f ca="1">E18</f>
        <v>491.49623947819452</v>
      </c>
      <c r="L3" s="10">
        <f t="shared" ref="L3:L13" si="5">K2/12</f>
        <v>10.342722146975648</v>
      </c>
      <c r="M3" s="11">
        <f ca="1">(K3*100)/I18</f>
        <v>4.5039931240437614</v>
      </c>
      <c r="N3" s="7"/>
      <c r="O3" s="7"/>
    </row>
    <row r="4" spans="1:15">
      <c r="A4" s="8"/>
      <c r="B4" s="4" t="s">
        <v>13</v>
      </c>
      <c r="C4" s="9">
        <f t="shared" si="1"/>
        <v>534.67924515277775</v>
      </c>
      <c r="D4" s="3">
        <v>4.0999999999999996</v>
      </c>
      <c r="E4" s="5">
        <f t="shared" si="2"/>
        <v>78.072790884597225</v>
      </c>
      <c r="F4" s="5">
        <f t="shared" si="0"/>
        <v>6.5060659070497691</v>
      </c>
      <c r="G4" s="4">
        <v>530</v>
      </c>
      <c r="H4" s="7">
        <f t="shared" si="3"/>
        <v>1.8268207542719912</v>
      </c>
      <c r="I4" s="7">
        <f t="shared" si="4"/>
        <v>1904.2144118194442</v>
      </c>
      <c r="J4" s="6">
        <f>A19</f>
        <v>2024</v>
      </c>
      <c r="K4" s="7">
        <f ca="1">E30</f>
        <v>829.94417367934932</v>
      </c>
      <c r="L4" s="1">
        <f t="shared" ca="1" si="5"/>
        <v>40.95801995651621</v>
      </c>
      <c r="M4" s="11">
        <f ca="1">(K4*100)/I30</f>
        <v>4.5753371930876128</v>
      </c>
      <c r="N4" s="7"/>
      <c r="O4" s="7"/>
    </row>
    <row r="5" spans="1:15">
      <c r="A5" s="8"/>
      <c r="B5" s="4" t="s">
        <v>14</v>
      </c>
      <c r="C5" s="9">
        <f t="shared" si="1"/>
        <v>559.50606590704979</v>
      </c>
      <c r="D5" s="3">
        <v>4.0999999999999996</v>
      </c>
      <c r="E5" s="5">
        <f t="shared" si="2"/>
        <v>101.01253958678626</v>
      </c>
      <c r="F5" s="5">
        <f t="shared" si="0"/>
        <v>8.417711632232189</v>
      </c>
      <c r="G5" s="4">
        <v>553</v>
      </c>
      <c r="H5" s="7">
        <f t="shared" si="3"/>
        <v>1.9116457251824199</v>
      </c>
      <c r="I5" s="7">
        <f t="shared" si="4"/>
        <v>2463.7204777264942</v>
      </c>
      <c r="J5" s="6">
        <f>A31</f>
        <v>2025</v>
      </c>
      <c r="K5" s="7">
        <f ca="1">E42</f>
        <v>1183.5269326130754</v>
      </c>
      <c r="L5" s="1">
        <f t="shared" ca="1" si="5"/>
        <v>69.162014473279115</v>
      </c>
      <c r="M5" s="11">
        <f ca="1">(K5*100)/I42</f>
        <v>4.6065752943192404</v>
      </c>
      <c r="N5" s="7"/>
      <c r="O5" s="7"/>
    </row>
    <row r="6" spans="1:15">
      <c r="A6" s="8"/>
      <c r="B6" s="4" t="s">
        <v>15</v>
      </c>
      <c r="C6" s="9">
        <f t="shared" si="1"/>
        <v>563.41771163223223</v>
      </c>
      <c r="D6" s="3">
        <v>4.0999999999999996</v>
      </c>
      <c r="E6" s="5">
        <f t="shared" si="2"/>
        <v>124.11266576370778</v>
      </c>
      <c r="F6" s="5">
        <f t="shared" si="0"/>
        <v>10.342722146975648</v>
      </c>
      <c r="G6" s="4">
        <v>555</v>
      </c>
      <c r="H6" s="7">
        <f t="shared" si="3"/>
        <v>1.9250105147434589</v>
      </c>
      <c r="I6" s="7">
        <f t="shared" si="4"/>
        <v>3027.1381893587263</v>
      </c>
      <c r="J6" s="6">
        <f>A43</f>
        <v>2026</v>
      </c>
      <c r="K6" s="7">
        <f ca="1">E54</f>
        <v>1555.1428896561197</v>
      </c>
      <c r="L6" s="1">
        <f t="shared" ca="1" si="5"/>
        <v>98.627244384422951</v>
      </c>
      <c r="M6" s="11">
        <f ca="1">(K6*100)/I54</f>
        <v>4.6247967043038818</v>
      </c>
      <c r="N6" s="7"/>
      <c r="O6" s="7"/>
    </row>
    <row r="7" spans="1:15">
      <c r="A7" s="12">
        <v>2023</v>
      </c>
      <c r="B7" s="13" t="s">
        <v>16</v>
      </c>
      <c r="C7" s="14">
        <f t="shared" si="1"/>
        <v>1060.3427221469756</v>
      </c>
      <c r="D7" s="12">
        <v>4.3099999999999996</v>
      </c>
      <c r="E7" s="15">
        <f t="shared" si="2"/>
        <v>169.81343708824244</v>
      </c>
      <c r="F7" s="15">
        <f t="shared" si="0"/>
        <v>14.151119757353536</v>
      </c>
      <c r="G7" s="13">
        <v>1050</v>
      </c>
      <c r="H7" s="7">
        <f t="shared" si="3"/>
        <v>3.808397610377888</v>
      </c>
      <c r="I7" s="7">
        <f t="shared" si="4"/>
        <v>4087.4809115057019</v>
      </c>
      <c r="J7" s="1">
        <f>A55</f>
        <v>2027</v>
      </c>
      <c r="K7" s="7">
        <f ca="1">E66</f>
        <v>2006.7556271480971</v>
      </c>
      <c r="L7" s="1">
        <f t="shared" ca="1" si="5"/>
        <v>129.59524080467665</v>
      </c>
      <c r="M7" s="11">
        <f ca="1">(K7*100)/I66</f>
        <v>4.6439247649978483</v>
      </c>
      <c r="N7" s="7"/>
      <c r="O7" s="7"/>
    </row>
    <row r="8" spans="1:15">
      <c r="B8" s="16" t="s">
        <v>17</v>
      </c>
      <c r="C8" s="14">
        <f t="shared" si="1"/>
        <v>515.15111975735351</v>
      </c>
      <c r="D8" s="12">
        <v>5.45</v>
      </c>
      <c r="E8" s="15">
        <f t="shared" si="2"/>
        <v>197.8891731150182</v>
      </c>
      <c r="F8" s="15">
        <f t="shared" si="0"/>
        <v>16.490764426251516</v>
      </c>
      <c r="G8" s="13">
        <v>501</v>
      </c>
      <c r="H8" s="7">
        <f t="shared" si="3"/>
        <v>2.3396446688979804</v>
      </c>
      <c r="I8" s="7">
        <f t="shared" si="4"/>
        <v>4602.6320312630551</v>
      </c>
      <c r="J8" s="6">
        <f>A67</f>
        <v>2028</v>
      </c>
      <c r="K8" s="10">
        <f ca="1">E78</f>
        <v>2484.8013995499546</v>
      </c>
      <c r="L8" s="1">
        <f t="shared" ca="1" si="5"/>
        <v>167.22963559567475</v>
      </c>
      <c r="M8" s="11">
        <f ca="1">(K8*100)/I78</f>
        <v>4.6589062366282041</v>
      </c>
      <c r="N8" s="7"/>
      <c r="O8" s="7"/>
    </row>
    <row r="9" spans="1:15">
      <c r="B9" s="13" t="s">
        <v>18</v>
      </c>
      <c r="C9" s="14">
        <f t="shared" si="1"/>
        <v>556.49076442625153</v>
      </c>
      <c r="D9" s="12">
        <v>4.49</v>
      </c>
      <c r="E9" s="15">
        <f t="shared" si="2"/>
        <v>222.87560843775688</v>
      </c>
      <c r="F9" s="15">
        <f t="shared" si="0"/>
        <v>18.572967369813075</v>
      </c>
      <c r="G9" s="13">
        <v>540</v>
      </c>
      <c r="H9" s="7">
        <f t="shared" si="3"/>
        <v>2.0822029435615583</v>
      </c>
      <c r="I9" s="7">
        <f t="shared" si="4"/>
        <v>5159.1227956893063</v>
      </c>
      <c r="J9" s="6">
        <f>A79</f>
        <v>2029</v>
      </c>
      <c r="K9" s="7">
        <f ca="1">E90</f>
        <v>2917.6990542133776</v>
      </c>
      <c r="L9" s="1">
        <f t="shared" ca="1" si="5"/>
        <v>207.06678329582954</v>
      </c>
      <c r="M9" s="11">
        <f ca="1">(K9*100)/I90</f>
        <v>4.6625219654997361</v>
      </c>
      <c r="N9" s="7"/>
      <c r="O9" s="7"/>
    </row>
    <row r="10" spans="1:15">
      <c r="B10" s="17" t="s">
        <v>19</v>
      </c>
      <c r="C10" s="18">
        <f t="shared" si="1"/>
        <v>1084.5729673698131</v>
      </c>
      <c r="D10" s="19">
        <v>4.55</v>
      </c>
      <c r="E10" s="20">
        <f t="shared" si="2"/>
        <v>272.22367845308338</v>
      </c>
      <c r="F10" s="20">
        <f t="shared" si="0"/>
        <v>22.685306537756947</v>
      </c>
      <c r="G10" s="17">
        <v>1066</v>
      </c>
      <c r="H10" s="7">
        <f t="shared" si="3"/>
        <v>4.1123391679438726</v>
      </c>
      <c r="I10" s="7">
        <f t="shared" si="4"/>
        <v>6243.6957630591196</v>
      </c>
      <c r="J10" s="6">
        <f>A91</f>
        <v>2030</v>
      </c>
      <c r="K10" s="7">
        <f ca="1">E102</f>
        <v>3372.431354377632</v>
      </c>
      <c r="L10" s="1">
        <f t="shared" ca="1" si="5"/>
        <v>243.14158785111479</v>
      </c>
      <c r="M10" s="11">
        <f ca="1">(K10*100)/I102</f>
        <v>4.6655642896719369</v>
      </c>
      <c r="N10" s="7"/>
      <c r="O10" s="7"/>
    </row>
    <row r="11" spans="1:15">
      <c r="B11" s="2" t="s">
        <v>20</v>
      </c>
      <c r="C11" s="21">
        <f t="shared" si="1"/>
        <v>642.6853065377569</v>
      </c>
      <c r="D11" s="22">
        <f ca="1">May_DI!L2</f>
        <v>4.2955563376049772</v>
      </c>
      <c r="E11" s="23">
        <f t="shared" ca="1" si="2"/>
        <v>299.83058786892195</v>
      </c>
      <c r="F11" s="23">
        <f t="shared" ca="1" si="0"/>
        <v>24.985882322410163</v>
      </c>
      <c r="G11" s="24">
        <v>620</v>
      </c>
      <c r="H11" s="7">
        <f t="shared" ca="1" si="3"/>
        <v>2.3005757846532155</v>
      </c>
      <c r="I11" s="7">
        <f t="shared" si="4"/>
        <v>6886.3810695968768</v>
      </c>
      <c r="J11" s="6">
        <f>A103</f>
        <v>2031</v>
      </c>
      <c r="K11" s="7">
        <f ca="1">E114</f>
        <v>3847.8718195102015</v>
      </c>
      <c r="L11" s="1">
        <f t="shared" ca="1" si="5"/>
        <v>281.035946198136</v>
      </c>
      <c r="M11" s="11">
        <f ca="1">(K11*100)/I114</f>
        <v>4.667846211827646</v>
      </c>
      <c r="N11" s="7"/>
      <c r="O11" s="7"/>
    </row>
    <row r="12" spans="1:15">
      <c r="B12" s="2" t="s">
        <v>21</v>
      </c>
      <c r="C12" s="21">
        <f t="shared" ca="1" si="1"/>
        <v>524.98588232241013</v>
      </c>
      <c r="D12" s="22">
        <f ca="1">Iunie_DI!L2</f>
        <v>4.7808094913965338</v>
      </c>
      <c r="E12" s="23">
        <f t="shared" ca="1" si="2"/>
        <v>324.92916275948357</v>
      </c>
      <c r="F12" s="23">
        <f t="shared" ca="1" si="0"/>
        <v>27.077430229956963</v>
      </c>
      <c r="G12" s="24">
        <v>500</v>
      </c>
      <c r="H12" s="7">
        <f t="shared" ca="1" si="3"/>
        <v>2.0915479075468006</v>
      </c>
      <c r="I12" s="7">
        <f t="shared" ca="1" si="4"/>
        <v>7411.3669519192872</v>
      </c>
      <c r="J12" s="6">
        <f>A115</f>
        <v>2032</v>
      </c>
      <c r="K12" s="7">
        <f ca="1">E126</f>
        <v>4347.1859450650472</v>
      </c>
      <c r="L12" s="1">
        <f t="shared" ca="1" si="5"/>
        <v>320.65598495918346</v>
      </c>
      <c r="M12" s="11">
        <f ca="1">(K12*100)/I126</f>
        <v>4.6698933926540018</v>
      </c>
      <c r="N12" s="7"/>
      <c r="O12" s="7"/>
    </row>
    <row r="13" spans="1:15">
      <c r="B13" s="2" t="s">
        <v>22</v>
      </c>
      <c r="C13" s="21">
        <f t="shared" ca="1" si="1"/>
        <v>527.07743022995692</v>
      </c>
      <c r="D13" s="22">
        <f ca="1">Iulie_DI!L2</f>
        <v>4.7281946685047753</v>
      </c>
      <c r="E13" s="23">
        <f t="shared" ca="1" si="2"/>
        <v>349.85040971450837</v>
      </c>
      <c r="F13" s="23">
        <f t="shared" ca="1" si="0"/>
        <v>29.154200809542363</v>
      </c>
      <c r="G13" s="24">
        <v>500</v>
      </c>
      <c r="H13" s="6">
        <f t="shared" ca="1" si="3"/>
        <v>2.0767705795853999</v>
      </c>
      <c r="I13" s="7">
        <f t="shared" ca="1" si="4"/>
        <v>7938.4443821492441</v>
      </c>
      <c r="J13" s="6">
        <f>A127</f>
        <v>2033</v>
      </c>
      <c r="K13" s="7">
        <f ca="1">E138</f>
        <v>4869.3449775240178</v>
      </c>
      <c r="L13" s="1">
        <f t="shared" ca="1" si="5"/>
        <v>362.26549542208727</v>
      </c>
      <c r="M13" s="11">
        <f ca="1">(K13*100)/I138</f>
        <v>4.6714814829931557</v>
      </c>
      <c r="N13" s="7"/>
      <c r="O13" s="7"/>
    </row>
    <row r="14" spans="1:15">
      <c r="B14" s="2" t="s">
        <v>11</v>
      </c>
      <c r="C14" s="25">
        <f t="shared" ca="1" si="1"/>
        <v>574.15420080954232</v>
      </c>
      <c r="D14" s="22">
        <f ca="1">August_DI!L2</f>
        <v>4.7719715780110761</v>
      </c>
      <c r="E14" s="23">
        <f t="shared" ca="1" si="2"/>
        <v>377.24888499109636</v>
      </c>
      <c r="F14" s="23">
        <f t="shared" ca="1" si="0"/>
        <v>31.437407082591363</v>
      </c>
      <c r="G14" s="24">
        <v>545</v>
      </c>
      <c r="H14" s="6">
        <f t="shared" ca="1" si="3"/>
        <v>2.2832062730490001</v>
      </c>
      <c r="I14" s="6">
        <f t="shared" ca="1" si="4"/>
        <v>8512.5985829587862</v>
      </c>
      <c r="J14" s="1">
        <f>A62</f>
        <v>0</v>
      </c>
      <c r="K14" s="6"/>
      <c r="L14" s="1"/>
      <c r="M14" s="1"/>
      <c r="N14" s="7"/>
      <c r="O14" s="7"/>
    </row>
    <row r="15" spans="1:15">
      <c r="B15" s="2" t="s">
        <v>12</v>
      </c>
      <c r="C15" s="25">
        <f t="shared" ca="1" si="1"/>
        <v>581.43740708259133</v>
      </c>
      <c r="D15" s="22">
        <f ca="1">Septembrie_DI!L2</f>
        <v>4.3673824317315333</v>
      </c>
      <c r="E15" s="23">
        <f t="shared" ca="1" si="2"/>
        <v>402.64248015953683</v>
      </c>
      <c r="F15" s="23">
        <f t="shared" ca="1" si="0"/>
        <v>33.553540013294736</v>
      </c>
      <c r="G15" s="24">
        <v>550</v>
      </c>
      <c r="H15" s="6">
        <f t="shared" ca="1" si="3"/>
        <v>2.1161329307033725</v>
      </c>
      <c r="I15" s="6">
        <f t="shared" ca="1" si="4"/>
        <v>9094.0359900413769</v>
      </c>
      <c r="J15" s="6">
        <f>A74</f>
        <v>0</v>
      </c>
      <c r="K15" s="1"/>
      <c r="L15" s="1"/>
      <c r="M15" s="1"/>
      <c r="N15" s="7"/>
      <c r="O15" s="7"/>
    </row>
    <row r="16" spans="1:15">
      <c r="B16" s="2" t="s">
        <v>13</v>
      </c>
      <c r="C16" s="25">
        <f t="shared" ca="1" si="1"/>
        <v>638.55354001329476</v>
      </c>
      <c r="D16" s="22">
        <f ca="1">Octombrie_DI!L2</f>
        <v>4.8692063709065785</v>
      </c>
      <c r="E16" s="23">
        <f t="shared" ca="1" si="2"/>
        <v>433.73496981151368</v>
      </c>
      <c r="F16" s="23">
        <f t="shared" ca="1" si="0"/>
        <v>36.144580817626142</v>
      </c>
      <c r="G16" s="24">
        <v>605</v>
      </c>
      <c r="H16" s="6">
        <f t="shared" ca="1" si="3"/>
        <v>2.5910408043314064</v>
      </c>
      <c r="I16" s="6">
        <f t="shared" ca="1" si="4"/>
        <v>9732.5895300546708</v>
      </c>
      <c r="J16" s="6">
        <f>A86</f>
        <v>0</v>
      </c>
      <c r="K16" s="6"/>
      <c r="L16" s="1"/>
      <c r="M16" s="1"/>
      <c r="N16" s="7"/>
      <c r="O16" s="7"/>
    </row>
    <row r="17" spans="1:15">
      <c r="B17" s="2" t="s">
        <v>14</v>
      </c>
      <c r="C17" s="25">
        <f t="shared" ca="1" si="1"/>
        <v>591.14458081762609</v>
      </c>
      <c r="D17" s="22">
        <f ca="1">Noiembrie_DI!L2</f>
        <v>5.2305522455478881</v>
      </c>
      <c r="E17" s="23">
        <f t="shared" ca="1" si="2"/>
        <v>464.65509595790468</v>
      </c>
      <c r="F17" s="23">
        <f t="shared" ca="1" si="0"/>
        <v>38.721257996492056</v>
      </c>
      <c r="G17" s="24">
        <v>555</v>
      </c>
      <c r="H17" s="6">
        <f t="shared" ca="1" si="3"/>
        <v>2.5766771788659142</v>
      </c>
      <c r="I17" s="6">
        <f t="shared" ca="1" si="4"/>
        <v>10323.734110872298</v>
      </c>
      <c r="L17" s="1"/>
      <c r="M17" s="1"/>
      <c r="N17" s="7"/>
      <c r="O17" s="7"/>
    </row>
    <row r="18" spans="1:15">
      <c r="B18" s="2" t="s">
        <v>15</v>
      </c>
      <c r="C18" s="25">
        <f t="shared" ca="1" si="1"/>
        <v>588.72125799649211</v>
      </c>
      <c r="D18" s="22">
        <f ca="1">Decembrie_DI!L2</f>
        <v>4.559227844368035</v>
      </c>
      <c r="E18" s="23">
        <f t="shared" ca="1" si="2"/>
        <v>491.49623947819452</v>
      </c>
      <c r="F18" s="23">
        <f t="shared" ca="1" si="0"/>
        <v>40.95801995651621</v>
      </c>
      <c r="G18" s="24">
        <v>550</v>
      </c>
      <c r="H18" s="6">
        <f t="shared" ca="1" si="3"/>
        <v>2.236761960024154</v>
      </c>
      <c r="I18" s="6">
        <f t="shared" ca="1" si="4"/>
        <v>10912.45536886879</v>
      </c>
      <c r="L18" s="1"/>
      <c r="M18" s="1"/>
      <c r="N18" s="7"/>
      <c r="O18" s="7"/>
    </row>
    <row r="19" spans="1:15">
      <c r="A19" s="26">
        <v>2024</v>
      </c>
      <c r="B19" s="27" t="s">
        <v>16</v>
      </c>
      <c r="C19" s="28">
        <f t="shared" ca="1" si="1"/>
        <v>565.95801995651618</v>
      </c>
      <c r="D19" s="29">
        <f ca="1">Ianuarie_DI!L2</f>
        <v>4.1184932616559795</v>
      </c>
      <c r="E19" s="30">
        <f t="shared" ca="1" si="2"/>
        <v>514.80518239390528</v>
      </c>
      <c r="F19" s="30">
        <f t="shared" ca="1" si="0"/>
        <v>42.900431866158776</v>
      </c>
      <c r="G19" s="31">
        <v>525</v>
      </c>
      <c r="H19" s="6">
        <f t="shared" ca="1" si="3"/>
        <v>1.9424119096425656</v>
      </c>
      <c r="I19" s="6">
        <f t="shared" ca="1" si="4"/>
        <v>11478.413388825305</v>
      </c>
      <c r="J19" s="1"/>
      <c r="L19" s="1"/>
      <c r="M19" s="1"/>
      <c r="N19" s="7"/>
      <c r="O19" s="7"/>
    </row>
    <row r="20" spans="1:15">
      <c r="A20" s="32"/>
      <c r="B20" s="33" t="s">
        <v>17</v>
      </c>
      <c r="C20" s="28">
        <f t="shared" ca="1" si="1"/>
        <v>542.90043186615878</v>
      </c>
      <c r="D20" s="29">
        <f ca="1">Februarie_DI!L2</f>
        <v>5.8525272600051794</v>
      </c>
      <c r="E20" s="30">
        <f t="shared" ca="1" si="2"/>
        <v>546.57857816355806</v>
      </c>
      <c r="F20" s="30">
        <f t="shared" ca="1" si="0"/>
        <v>45.54821484696317</v>
      </c>
      <c r="G20" s="31">
        <v>500</v>
      </c>
      <c r="H20" s="6">
        <f t="shared" ca="1" si="3"/>
        <v>2.6477829808043936</v>
      </c>
      <c r="I20" s="6">
        <f t="shared" ca="1" si="4"/>
        <v>12021.313820691465</v>
      </c>
      <c r="K20" s="34"/>
      <c r="L20" s="1"/>
      <c r="M20" s="1"/>
      <c r="N20" s="7"/>
      <c r="O20" s="7"/>
    </row>
    <row r="21" spans="1:15">
      <c r="A21" s="32"/>
      <c r="B21" s="27" t="s">
        <v>18</v>
      </c>
      <c r="C21" s="28">
        <f t="shared" ca="1" si="1"/>
        <v>585.54821484696322</v>
      </c>
      <c r="D21" s="29">
        <f ca="1">Martie_DI!L2</f>
        <v>4.4468865696382798</v>
      </c>
      <c r="E21" s="30">
        <f t="shared" ca="1" si="2"/>
        <v>572.61724308834437</v>
      </c>
      <c r="F21" s="30">
        <f t="shared" ca="1" si="0"/>
        <v>47.718103590695364</v>
      </c>
      <c r="G21" s="31">
        <v>540</v>
      </c>
      <c r="H21" s="6">
        <f t="shared" ca="1" si="3"/>
        <v>2.1698887437321943</v>
      </c>
      <c r="I21" s="6">
        <f t="shared" ca="1" si="4"/>
        <v>12606.862035538428</v>
      </c>
      <c r="L21" s="1"/>
      <c r="M21" s="1"/>
      <c r="N21" s="7"/>
      <c r="O21" s="7"/>
    </row>
    <row r="22" spans="1:15">
      <c r="A22" s="32"/>
      <c r="B22" s="27" t="s">
        <v>19</v>
      </c>
      <c r="C22" s="28">
        <f t="shared" ca="1" si="1"/>
        <v>622.71810359069536</v>
      </c>
      <c r="D22" s="29">
        <f ca="1">Aprilie_DI!L2</f>
        <v>4.268448723687106</v>
      </c>
      <c r="E22" s="30">
        <f t="shared" ca="1" si="2"/>
        <v>599.19764603322994</v>
      </c>
      <c r="F22" s="30">
        <f t="shared" ca="1" si="0"/>
        <v>49.933137169435831</v>
      </c>
      <c r="G22" s="31">
        <v>575</v>
      </c>
      <c r="H22" s="6">
        <f t="shared" ca="1" si="3"/>
        <v>2.2150335787404671</v>
      </c>
      <c r="I22" s="6">
        <f t="shared" ca="1" si="4"/>
        <v>13229.580139129124</v>
      </c>
      <c r="L22" s="1"/>
      <c r="M22" s="1"/>
      <c r="N22" s="7"/>
      <c r="O22" s="7"/>
    </row>
    <row r="23" spans="1:15">
      <c r="A23" s="32"/>
      <c r="B23" s="27" t="s">
        <v>20</v>
      </c>
      <c r="C23" s="28">
        <f t="shared" ca="1" si="1"/>
        <v>639.93313716943578</v>
      </c>
      <c r="D23" s="29">
        <f ca="1">May_DI!L2</f>
        <v>4.2955563376049772</v>
      </c>
      <c r="E23" s="30">
        <f t="shared" ca="1" si="2"/>
        <v>626.68633446334604</v>
      </c>
      <c r="F23" s="30">
        <f t="shared" ca="1" si="0"/>
        <v>52.223861205278837</v>
      </c>
      <c r="G23" s="31">
        <v>590</v>
      </c>
      <c r="H23" s="6">
        <f t="shared" ca="1" si="3"/>
        <v>2.2907240358430059</v>
      </c>
      <c r="I23" s="6">
        <f t="shared" ca="1" si="4"/>
        <v>13869.51327629856</v>
      </c>
      <c r="L23" s="1"/>
      <c r="M23" s="1"/>
      <c r="N23" s="7"/>
      <c r="O23" s="7"/>
    </row>
    <row r="24" spans="1:15">
      <c r="A24" s="32"/>
      <c r="B24" s="27" t="s">
        <v>21</v>
      </c>
      <c r="C24" s="28">
        <f t="shared" ca="1" si="1"/>
        <v>552.22386120527881</v>
      </c>
      <c r="D24" s="29">
        <f ca="1">Iunie_DI!L2</f>
        <v>4.7808094913965338</v>
      </c>
      <c r="E24" s="30">
        <f t="shared" ca="1" si="2"/>
        <v>653.08710523360446</v>
      </c>
      <c r="F24" s="30">
        <f t="shared" ca="1" si="0"/>
        <v>54.423925436133707</v>
      </c>
      <c r="G24" s="31">
        <v>500</v>
      </c>
      <c r="H24" s="6">
        <f t="shared" ca="1" si="3"/>
        <v>2.2000642308548706</v>
      </c>
      <c r="I24" s="6">
        <f t="shared" ca="1" si="4"/>
        <v>14421.737137503838</v>
      </c>
      <c r="L24" s="1"/>
      <c r="M24" s="1"/>
      <c r="N24" s="7"/>
      <c r="O24" s="7"/>
    </row>
    <row r="25" spans="1:15">
      <c r="A25" s="32"/>
      <c r="B25" s="27" t="s">
        <v>22</v>
      </c>
      <c r="C25" s="28">
        <f t="shared" ca="1" si="1"/>
        <v>604.42392543613369</v>
      </c>
      <c r="D25" s="29">
        <f ca="1">Iulie_DI!L2</f>
        <v>4.7281946685047753</v>
      </c>
      <c r="E25" s="30">
        <f t="shared" ca="1" si="2"/>
        <v>681.66544505124307</v>
      </c>
      <c r="F25" s="30">
        <f t="shared" ca="1" si="0"/>
        <v>56.805453754270253</v>
      </c>
      <c r="G25" s="31">
        <v>550</v>
      </c>
      <c r="H25" s="6">
        <f t="shared" ca="1" si="3"/>
        <v>2.3815283181365459</v>
      </c>
      <c r="I25" s="6">
        <f t="shared" ca="1" si="4"/>
        <v>15026.161062939973</v>
      </c>
      <c r="L25" s="1"/>
      <c r="M25" s="1"/>
      <c r="N25" s="7"/>
      <c r="O25" s="7"/>
    </row>
    <row r="26" spans="1:15">
      <c r="A26" s="32"/>
      <c r="B26" s="27" t="s">
        <v>11</v>
      </c>
      <c r="C26" s="28">
        <f t="shared" ca="1" si="1"/>
        <v>601.80545375427027</v>
      </c>
      <c r="D26" s="29">
        <f ca="1">August_DI!L2</f>
        <v>4.7719715780110761</v>
      </c>
      <c r="E26" s="30">
        <f t="shared" ca="1" si="2"/>
        <v>710.38343025931749</v>
      </c>
      <c r="F26" s="30">
        <f t="shared" ca="1" si="0"/>
        <v>59.19861918827646</v>
      </c>
      <c r="G26" s="31">
        <v>545</v>
      </c>
      <c r="H26" s="6">
        <f t="shared" ca="1" si="3"/>
        <v>2.3931654340062067</v>
      </c>
      <c r="I26" s="6">
        <f t="shared" ca="1" si="4"/>
        <v>15627.966516694243</v>
      </c>
      <c r="L26" s="1"/>
      <c r="M26" s="1"/>
      <c r="N26" s="7"/>
      <c r="O26" s="7"/>
    </row>
    <row r="27" spans="1:15">
      <c r="A27" s="32"/>
      <c r="B27" s="27" t="s">
        <v>12</v>
      </c>
      <c r="C27" s="28">
        <f t="shared" ca="1" si="1"/>
        <v>609.19861918827644</v>
      </c>
      <c r="D27" s="29">
        <f ca="1">Septembrie_DI!L2</f>
        <v>4.3673824317315333</v>
      </c>
      <c r="E27" s="30">
        <f t="shared" ca="1" si="2"/>
        <v>736.98946372809735</v>
      </c>
      <c r="F27" s="30">
        <f t="shared" ca="1" si="0"/>
        <v>61.41578864400811</v>
      </c>
      <c r="G27" s="31">
        <v>550</v>
      </c>
      <c r="H27" s="6">
        <f t="shared" ca="1" si="3"/>
        <v>2.2171694557316499</v>
      </c>
      <c r="I27" s="6">
        <f t="shared" ca="1" si="4"/>
        <v>16237.16513588252</v>
      </c>
      <c r="L27" s="1"/>
      <c r="M27" s="1"/>
      <c r="N27" s="7"/>
      <c r="O27" s="7"/>
    </row>
    <row r="28" spans="1:15">
      <c r="A28" s="32"/>
      <c r="B28" s="27" t="s">
        <v>13</v>
      </c>
      <c r="C28" s="28">
        <f t="shared" ca="1" si="1"/>
        <v>666.4157886440081</v>
      </c>
      <c r="D28" s="29">
        <f ca="1">Octombrie_DI!L2</f>
        <v>4.8692063709065785</v>
      </c>
      <c r="E28" s="30">
        <f t="shared" ca="1" si="2"/>
        <v>769.43862376547872</v>
      </c>
      <c r="F28" s="30">
        <f t="shared" ca="1" si="0"/>
        <v>64.119885313789894</v>
      </c>
      <c r="G28" s="31">
        <v>605</v>
      </c>
      <c r="H28" s="6">
        <f t="shared" ca="1" si="3"/>
        <v>2.7040966697817836</v>
      </c>
      <c r="I28" s="6">
        <f t="shared" ca="1" si="4"/>
        <v>16903.58092452653</v>
      </c>
      <c r="L28" s="1"/>
      <c r="M28" s="1"/>
      <c r="N28" s="7"/>
      <c r="O28" s="7"/>
    </row>
    <row r="29" spans="1:15">
      <c r="A29" s="32"/>
      <c r="B29" s="27" t="s">
        <v>14</v>
      </c>
      <c r="C29" s="28">
        <f t="shared" ca="1" si="1"/>
        <v>619.11988531378984</v>
      </c>
      <c r="D29" s="29">
        <f ca="1">Noiembrie_DI!L2</f>
        <v>5.2305522455478881</v>
      </c>
      <c r="E29" s="30">
        <f t="shared" ca="1" si="2"/>
        <v>801.82201282939263</v>
      </c>
      <c r="F29" s="30">
        <f t="shared" ca="1" si="0"/>
        <v>66.818501069116053</v>
      </c>
      <c r="G29" s="31">
        <v>555</v>
      </c>
      <c r="H29" s="6">
        <f t="shared" ca="1" si="3"/>
        <v>2.6986157553261592</v>
      </c>
      <c r="I29" s="6">
        <f t="shared" ca="1" si="4"/>
        <v>17522.70080984032</v>
      </c>
      <c r="L29" s="1"/>
      <c r="M29" s="1"/>
      <c r="N29" s="7"/>
      <c r="O29" s="7"/>
    </row>
    <row r="30" spans="1:15">
      <c r="A30" s="32"/>
      <c r="B30" s="27" t="s">
        <v>15</v>
      </c>
      <c r="C30" s="28">
        <f t="shared" ca="1" si="1"/>
        <v>616.81850106911611</v>
      </c>
      <c r="D30" s="29">
        <f ca="1">Decembrie_DI!L2</f>
        <v>4.559227844368035</v>
      </c>
      <c r="E30" s="30">
        <f t="shared" ca="1" si="2"/>
        <v>829.94417367934932</v>
      </c>
      <c r="F30" s="30">
        <f t="shared" ca="1" si="0"/>
        <v>69.162014473279115</v>
      </c>
      <c r="G30" s="31">
        <v>550</v>
      </c>
      <c r="H30" s="6">
        <f t="shared" ca="1" si="3"/>
        <v>2.3435134041630619</v>
      </c>
      <c r="I30" s="6">
        <f t="shared" ca="1" si="4"/>
        <v>18139.519310909436</v>
      </c>
      <c r="L30" s="1"/>
      <c r="M30" s="1"/>
      <c r="N30" s="7"/>
      <c r="O30" s="7"/>
    </row>
    <row r="31" spans="1:15">
      <c r="A31" s="1">
        <v>2025</v>
      </c>
      <c r="B31" s="2" t="s">
        <v>16</v>
      </c>
      <c r="C31" s="35">
        <f t="shared" ca="1" si="1"/>
        <v>594.1620144732791</v>
      </c>
      <c r="D31" s="22">
        <f ca="1">Ianuarie_DI!L2</f>
        <v>4.1184932616559795</v>
      </c>
      <c r="E31" s="23">
        <f t="shared" ca="1" si="2"/>
        <v>854.4146962087508</v>
      </c>
      <c r="F31" s="23">
        <f t="shared" ca="1" si="0"/>
        <v>71.201224684062566</v>
      </c>
      <c r="G31" s="24">
        <v>525</v>
      </c>
      <c r="H31" s="6">
        <f t="shared" ca="1" si="3"/>
        <v>2.0392102107834518</v>
      </c>
      <c r="I31" s="6">
        <f t="shared" ca="1" si="4"/>
        <v>18733.681325382717</v>
      </c>
      <c r="J31" s="1"/>
      <c r="L31" s="1"/>
      <c r="M31" s="1"/>
      <c r="N31" s="7"/>
      <c r="O31" s="7"/>
    </row>
    <row r="32" spans="1:15">
      <c r="B32" s="34" t="s">
        <v>17</v>
      </c>
      <c r="C32" s="35">
        <f t="shared" ca="1" si="1"/>
        <v>571.20122468406259</v>
      </c>
      <c r="D32" s="22">
        <f ca="1">Februarie_DI!L2</f>
        <v>5.8525272600051794</v>
      </c>
      <c r="E32" s="23">
        <f t="shared" ca="1" si="2"/>
        <v>887.84440359286896</v>
      </c>
      <c r="F32" s="23">
        <f t="shared" ca="1" si="0"/>
        <v>73.987033632739085</v>
      </c>
      <c r="G32" s="24">
        <v>500</v>
      </c>
      <c r="H32" s="6">
        <f t="shared" ca="1" si="3"/>
        <v>2.7858089486765181</v>
      </c>
      <c r="I32" s="6">
        <f t="shared" ca="1" si="4"/>
        <v>19304.882550066781</v>
      </c>
      <c r="K32" s="34"/>
      <c r="L32" s="1"/>
      <c r="M32" s="1"/>
      <c r="N32" s="7"/>
      <c r="O32" s="7"/>
    </row>
    <row r="33" spans="1:15">
      <c r="B33" s="2" t="s">
        <v>18</v>
      </c>
      <c r="C33" s="35">
        <f t="shared" ca="1" si="1"/>
        <v>613.9870336327391</v>
      </c>
      <c r="D33" s="22">
        <f ca="1">Martie_DI!L2</f>
        <v>4.4468865696382798</v>
      </c>
      <c r="E33" s="23">
        <f t="shared" ca="1" si="2"/>
        <v>915.14771053080369</v>
      </c>
      <c r="F33" s="23">
        <f t="shared" ca="1" si="0"/>
        <v>76.262309210900312</v>
      </c>
      <c r="G33" s="24">
        <v>540</v>
      </c>
      <c r="H33" s="6">
        <f t="shared" ca="1" si="3"/>
        <v>2.2752755781612279</v>
      </c>
      <c r="I33" s="6">
        <f t="shared" ca="1" si="4"/>
        <v>19918.869583699521</v>
      </c>
      <c r="L33" s="1"/>
      <c r="M33" s="1"/>
      <c r="N33" s="7"/>
      <c r="O33" s="7"/>
    </row>
    <row r="34" spans="1:15">
      <c r="A34" s="2" t="s">
        <v>23</v>
      </c>
      <c r="B34" s="2" t="s">
        <v>19</v>
      </c>
      <c r="C34" s="35">
        <f t="shared" ca="1" si="1"/>
        <v>651.2623092109003</v>
      </c>
      <c r="D34" s="22">
        <f ca="1">Aprilie_DI!L2</f>
        <v>4.268448723687106</v>
      </c>
      <c r="E34" s="23">
        <f t="shared" ca="1" si="2"/>
        <v>942.94650825617157</v>
      </c>
      <c r="F34" s="23">
        <f t="shared" ca="1" si="0"/>
        <v>78.578875688014293</v>
      </c>
      <c r="G34" s="24">
        <v>575</v>
      </c>
      <c r="H34" s="6">
        <f t="shared" ca="1" si="3"/>
        <v>2.3165664771139802</v>
      </c>
      <c r="I34" s="6">
        <f t="shared" ca="1" si="4"/>
        <v>20570.13189291042</v>
      </c>
      <c r="L34" s="1"/>
      <c r="M34" s="1"/>
      <c r="N34" s="7"/>
      <c r="O34" s="7"/>
    </row>
    <row r="35" spans="1:15">
      <c r="B35" s="2" t="s">
        <v>20</v>
      </c>
      <c r="C35" s="35">
        <f t="shared" ca="1" si="1"/>
        <v>698.57887568801425</v>
      </c>
      <c r="D35" s="22">
        <f ca="1">May_DI!L2</f>
        <v>4.2955563376049772</v>
      </c>
      <c r="E35" s="23">
        <f t="shared" ca="1" si="2"/>
        <v>972.95435742395762</v>
      </c>
      <c r="F35" s="23">
        <f t="shared" ca="1" si="0"/>
        <v>81.079529785329797</v>
      </c>
      <c r="G35" s="24">
        <v>620</v>
      </c>
      <c r="H35" s="6">
        <f t="shared" ca="1" si="3"/>
        <v>2.500654097315504</v>
      </c>
      <c r="I35" s="6">
        <f t="shared" ca="1" si="4"/>
        <v>21268.710768598434</v>
      </c>
      <c r="L35" s="1"/>
      <c r="M35" s="1"/>
      <c r="N35" s="7"/>
      <c r="O35" s="7"/>
    </row>
    <row r="36" spans="1:15">
      <c r="B36" s="2" t="s">
        <v>21</v>
      </c>
      <c r="C36" s="35">
        <f t="shared" ca="1" si="1"/>
        <v>581.07952978532978</v>
      </c>
      <c r="D36" s="22">
        <f ca="1">Iunie_DI!L2</f>
        <v>4.7808094913965338</v>
      </c>
      <c r="E36" s="23">
        <f t="shared" ca="1" si="2"/>
        <v>1000.7346627364971</v>
      </c>
      <c r="F36" s="23">
        <f t="shared" ca="1" si="0"/>
        <v>83.394555228041426</v>
      </c>
      <c r="G36" s="24">
        <v>500</v>
      </c>
      <c r="H36" s="6">
        <f t="shared" ca="1" si="3"/>
        <v>2.3150254427116295</v>
      </c>
      <c r="I36" s="6">
        <f t="shared" ca="1" si="4"/>
        <v>21849.790298383763</v>
      </c>
      <c r="L36" s="1"/>
      <c r="M36" s="1"/>
      <c r="N36" s="7"/>
      <c r="O36" s="7"/>
    </row>
    <row r="37" spans="1:15">
      <c r="B37" s="2" t="s">
        <v>22</v>
      </c>
      <c r="C37" s="35">
        <f t="shared" ca="1" si="1"/>
        <v>583.39455522804144</v>
      </c>
      <c r="D37" s="22">
        <f ca="1">Iulie_DI!L2</f>
        <v>4.7281946685047753</v>
      </c>
      <c r="E37" s="23">
        <f t="shared" ca="1" si="2"/>
        <v>1028.3186929931364</v>
      </c>
      <c r="F37" s="23">
        <f t="shared" ca="1" si="0"/>
        <v>85.693224416094708</v>
      </c>
      <c r="G37" s="24">
        <v>500</v>
      </c>
      <c r="H37" s="6">
        <f t="shared" ca="1" si="3"/>
        <v>2.2986691880532817</v>
      </c>
      <c r="I37" s="6">
        <f t="shared" ca="1" si="4"/>
        <v>22433.184853611805</v>
      </c>
      <c r="L37" s="1"/>
      <c r="M37" s="1"/>
      <c r="N37" s="7"/>
      <c r="O37" s="7"/>
    </row>
    <row r="38" spans="1:15">
      <c r="B38" s="2" t="s">
        <v>11</v>
      </c>
      <c r="C38" s="35">
        <f t="shared" ca="1" si="1"/>
        <v>630.69322441609472</v>
      </c>
      <c r="D38" s="22">
        <f ca="1">August_DI!L2</f>
        <v>4.7719715780110761</v>
      </c>
      <c r="E38" s="23">
        <f t="shared" ca="1" si="2"/>
        <v>1058.4151944067141</v>
      </c>
      <c r="F38" s="23">
        <f t="shared" ca="1" si="0"/>
        <v>88.201266200559516</v>
      </c>
      <c r="G38" s="24">
        <v>545</v>
      </c>
      <c r="H38" s="6">
        <f t="shared" ca="1" si="3"/>
        <v>2.5080417844648082</v>
      </c>
      <c r="I38" s="6">
        <f t="shared" ca="1" si="4"/>
        <v>23063.878078027901</v>
      </c>
      <c r="L38" s="1"/>
      <c r="M38" s="1"/>
      <c r="N38" s="7"/>
      <c r="O38" s="7"/>
    </row>
    <row r="39" spans="1:15">
      <c r="B39" s="2" t="s">
        <v>12</v>
      </c>
      <c r="C39" s="35">
        <f t="shared" ca="1" si="1"/>
        <v>638.20126620055953</v>
      </c>
      <c r="D39" s="22">
        <f ca="1">Septembrie_DI!L2</f>
        <v>4.3673824317315333</v>
      </c>
      <c r="E39" s="23">
        <f t="shared" ca="1" si="2"/>
        <v>1086.2878843858455</v>
      </c>
      <c r="F39" s="23">
        <f t="shared" ca="1" si="0"/>
        <v>90.523990365487123</v>
      </c>
      <c r="G39" s="24">
        <v>550</v>
      </c>
      <c r="H39" s="6">
        <f t="shared" ca="1" si="3"/>
        <v>2.3227241649276067</v>
      </c>
      <c r="I39" s="6">
        <f t="shared" ca="1" si="4"/>
        <v>23702.079344228459</v>
      </c>
      <c r="L39" s="1"/>
      <c r="M39" s="1"/>
      <c r="N39" s="7"/>
      <c r="O39" s="7"/>
    </row>
    <row r="40" spans="1:15">
      <c r="B40" s="2" t="s">
        <v>13</v>
      </c>
      <c r="C40" s="35">
        <f t="shared" ca="1" si="1"/>
        <v>695.52399036548718</v>
      </c>
      <c r="D40" s="22">
        <f ca="1">Octombrie_DI!L2</f>
        <v>4.8692063709065785</v>
      </c>
      <c r="E40" s="23">
        <f t="shared" ca="1" si="2"/>
        <v>1120.1543828359054</v>
      </c>
      <c r="F40" s="23">
        <f t="shared" ca="1" si="0"/>
        <v>93.346198569658782</v>
      </c>
      <c r="G40" s="24">
        <v>605</v>
      </c>
      <c r="H40" s="6">
        <f t="shared" ca="1" si="3"/>
        <v>2.822208204171659</v>
      </c>
      <c r="I40" s="6">
        <f t="shared" ca="1" si="4"/>
        <v>24397.603334593947</v>
      </c>
      <c r="L40" s="1"/>
      <c r="M40" s="1"/>
      <c r="N40" s="7"/>
      <c r="O40" s="7"/>
    </row>
    <row r="41" spans="1:15">
      <c r="B41" s="2" t="s">
        <v>14</v>
      </c>
      <c r="C41" s="35">
        <f t="shared" ca="1" si="1"/>
        <v>648.34619856965878</v>
      </c>
      <c r="D41" s="22">
        <f ca="1">Noiembrie_DI!L2</f>
        <v>5.2305522455478881</v>
      </c>
      <c r="E41" s="23">
        <f t="shared" ca="1" si="2"/>
        <v>1154.066469484115</v>
      </c>
      <c r="F41" s="23">
        <f t="shared" ca="1" si="0"/>
        <v>96.172205790342915</v>
      </c>
      <c r="G41" s="24">
        <v>555</v>
      </c>
      <c r="H41" s="6">
        <f t="shared" ca="1" si="3"/>
        <v>2.8260072206841329</v>
      </c>
      <c r="I41" s="6">
        <f t="shared" ca="1" si="4"/>
        <v>25045.949533163606</v>
      </c>
      <c r="L41" s="1"/>
      <c r="M41" s="1"/>
      <c r="N41" s="7"/>
      <c r="O41" s="7"/>
    </row>
    <row r="42" spans="1:15">
      <c r="B42" s="2" t="s">
        <v>15</v>
      </c>
      <c r="C42" s="35">
        <f t="shared" ca="1" si="1"/>
        <v>646.1722057903429</v>
      </c>
      <c r="D42" s="22">
        <f ca="1">Decembrie_DI!L2</f>
        <v>4.559227844368035</v>
      </c>
      <c r="E42" s="23">
        <f t="shared" ca="1" si="2"/>
        <v>1183.5269326130754</v>
      </c>
      <c r="F42" s="23">
        <f t="shared" ca="1" si="0"/>
        <v>98.627244384422951</v>
      </c>
      <c r="G42" s="24">
        <v>550</v>
      </c>
      <c r="H42" s="6">
        <f t="shared" ca="1" si="3"/>
        <v>2.4550385940800368</v>
      </c>
      <c r="I42" s="6">
        <f t="shared" ca="1" si="4"/>
        <v>25692.121738953949</v>
      </c>
      <c r="L42" s="1"/>
      <c r="M42" s="1"/>
      <c r="N42" s="7"/>
      <c r="O42" s="7"/>
    </row>
    <row r="43" spans="1:15">
      <c r="A43" s="26">
        <v>2026</v>
      </c>
      <c r="B43" s="27" t="s">
        <v>16</v>
      </c>
      <c r="C43" s="28">
        <f t="shared" ca="1" si="1"/>
        <v>623.62724438442297</v>
      </c>
      <c r="D43" s="29">
        <f ca="1">Ianuarie_DI!L2</f>
        <v>4.1184932616559795</v>
      </c>
      <c r="E43" s="30">
        <f t="shared" ca="1" si="2"/>
        <v>1209.2109786508986</v>
      </c>
      <c r="F43" s="30">
        <f t="shared" ca="1" si="0"/>
        <v>100.76758155424154</v>
      </c>
      <c r="G43" s="31">
        <v>525</v>
      </c>
      <c r="H43" s="6">
        <f t="shared" ca="1" si="3"/>
        <v>2.1403371698185936</v>
      </c>
      <c r="I43" s="6">
        <f t="shared" ca="1" si="4"/>
        <v>26315.748983338373</v>
      </c>
      <c r="J43" s="1"/>
      <c r="L43" s="1"/>
      <c r="M43" s="1"/>
      <c r="N43" s="7"/>
      <c r="O43" s="7"/>
    </row>
    <row r="44" spans="1:15">
      <c r="A44" s="32"/>
      <c r="B44" s="33" t="s">
        <v>17</v>
      </c>
      <c r="C44" s="28">
        <f t="shared" ca="1" si="1"/>
        <v>600.76758155424159</v>
      </c>
      <c r="D44" s="29">
        <f ca="1">Februarie_DI!L2</f>
        <v>5.8525272600051794</v>
      </c>
      <c r="E44" s="30">
        <f t="shared" ca="1" si="2"/>
        <v>1244.3710651306344</v>
      </c>
      <c r="F44" s="30">
        <f t="shared" ca="1" si="0"/>
        <v>103.69758876088621</v>
      </c>
      <c r="G44" s="31">
        <v>500</v>
      </c>
      <c r="H44" s="6">
        <f t="shared" ca="1" si="3"/>
        <v>2.9300072066446603</v>
      </c>
      <c r="I44" s="6">
        <f t="shared" ca="1" si="4"/>
        <v>26916.516564892616</v>
      </c>
      <c r="K44" s="34"/>
      <c r="L44" s="1"/>
      <c r="M44" s="1"/>
      <c r="N44" s="7"/>
      <c r="O44" s="7"/>
    </row>
    <row r="45" spans="1:15">
      <c r="A45" s="32"/>
      <c r="B45" s="27" t="s">
        <v>18</v>
      </c>
      <c r="C45" s="28">
        <f t="shared" ca="1" si="1"/>
        <v>643.69758876088622</v>
      </c>
      <c r="D45" s="29">
        <f ca="1">Martie_DI!L2</f>
        <v>4.4468865696382798</v>
      </c>
      <c r="E45" s="30">
        <f t="shared" ca="1" si="2"/>
        <v>1272.9955667543277</v>
      </c>
      <c r="F45" s="30">
        <f t="shared" ca="1" si="0"/>
        <v>106.08296389619397</v>
      </c>
      <c r="G45" s="31">
        <v>540</v>
      </c>
      <c r="H45" s="6">
        <f t="shared" ca="1" si="3"/>
        <v>2.3853751353077683</v>
      </c>
      <c r="I45" s="6">
        <f t="shared" ca="1" si="4"/>
        <v>27560.214153653502</v>
      </c>
      <c r="L45" s="1"/>
      <c r="M45" s="1"/>
      <c r="N45" s="7"/>
      <c r="O45" s="7"/>
    </row>
    <row r="46" spans="1:15">
      <c r="A46" s="32"/>
      <c r="B46" s="27" t="s">
        <v>19</v>
      </c>
      <c r="C46" s="28">
        <f t="shared" ca="1" si="1"/>
        <v>681.08296389619397</v>
      </c>
      <c r="D46" s="29">
        <f ca="1">Aprilie_DI!L2</f>
        <v>4.268448723687106</v>
      </c>
      <c r="E46" s="30">
        <f t="shared" ca="1" si="2"/>
        <v>1302.067243834005</v>
      </c>
      <c r="F46" s="30">
        <f t="shared" ca="1" si="0"/>
        <v>108.50560365283376</v>
      </c>
      <c r="G46" s="31">
        <v>575</v>
      </c>
      <c r="H46" s="6">
        <f t="shared" ca="1" si="3"/>
        <v>2.4226397566397821</v>
      </c>
      <c r="I46" s="6">
        <f t="shared" ca="1" si="4"/>
        <v>28241.297117549697</v>
      </c>
      <c r="L46" s="1"/>
      <c r="M46" s="1"/>
      <c r="N46" s="7"/>
      <c r="O46" s="7"/>
    </row>
    <row r="47" spans="1:15">
      <c r="A47" s="32"/>
      <c r="B47" s="27" t="s">
        <v>20</v>
      </c>
      <c r="C47" s="28">
        <f t="shared" ca="1" si="1"/>
        <v>698.50560365283377</v>
      </c>
      <c r="D47" s="29">
        <f ca="1">May_DI!L2</f>
        <v>4.2955563376049772</v>
      </c>
      <c r="E47" s="30">
        <f t="shared" ca="1" si="2"/>
        <v>1332.0719455602402</v>
      </c>
      <c r="F47" s="30">
        <f t="shared" ca="1" si="0"/>
        <v>111.00599546335336</v>
      </c>
      <c r="G47" s="31">
        <v>590</v>
      </c>
      <c r="H47" s="6">
        <f t="shared" ca="1" si="3"/>
        <v>2.5003918105196021</v>
      </c>
      <c r="I47" s="6">
        <f t="shared" ca="1" si="4"/>
        <v>28939.80272120253</v>
      </c>
      <c r="L47" s="1"/>
      <c r="M47" s="1"/>
      <c r="N47" s="7"/>
      <c r="O47" s="7"/>
    </row>
    <row r="48" spans="1:15">
      <c r="A48" s="32"/>
      <c r="B48" s="27" t="s">
        <v>21</v>
      </c>
      <c r="C48" s="28">
        <f t="shared" ca="1" si="1"/>
        <v>611.00599546335332</v>
      </c>
      <c r="D48" s="29">
        <f ca="1">Iunie_DI!L2</f>
        <v>4.7808094913965338</v>
      </c>
      <c r="E48" s="30">
        <f t="shared" ca="1" si="2"/>
        <v>1361.2829781843541</v>
      </c>
      <c r="F48" s="30">
        <f t="shared" ca="1" si="0"/>
        <v>113.44024818202951</v>
      </c>
      <c r="G48" s="31">
        <v>500</v>
      </c>
      <c r="H48" s="6">
        <f t="shared" ca="1" si="3"/>
        <v>2.4342527186761487</v>
      </c>
      <c r="I48" s="6">
        <f t="shared" ca="1" si="4"/>
        <v>29550.808716665884</v>
      </c>
      <c r="L48" s="1"/>
      <c r="M48" s="1"/>
      <c r="N48" s="7"/>
      <c r="O48" s="7"/>
    </row>
    <row r="49" spans="1:15">
      <c r="A49" s="32"/>
      <c r="B49" s="27" t="s">
        <v>22</v>
      </c>
      <c r="C49" s="28">
        <f t="shared" ca="1" si="1"/>
        <v>663.44024818202956</v>
      </c>
      <c r="D49" s="29">
        <f ca="1">Iulie_DI!L2</f>
        <v>4.7281946685047753</v>
      </c>
      <c r="E49" s="30">
        <f t="shared" ca="1" si="2"/>
        <v>1392.6517246276117</v>
      </c>
      <c r="F49" s="30">
        <f t="shared" ca="1" si="0"/>
        <v>116.05431038563431</v>
      </c>
      <c r="G49" s="31">
        <v>550</v>
      </c>
      <c r="H49" s="6">
        <f t="shared" ca="1" si="3"/>
        <v>2.6140622036048029</v>
      </c>
      <c r="I49" s="6">
        <f t="shared" ca="1" si="4"/>
        <v>30214.248964847913</v>
      </c>
      <c r="L49" s="1"/>
      <c r="M49" s="1"/>
      <c r="N49" s="7"/>
      <c r="O49" s="7"/>
    </row>
    <row r="50" spans="1:15">
      <c r="A50" s="32"/>
      <c r="B50" s="27" t="s">
        <v>11</v>
      </c>
      <c r="C50" s="28">
        <f t="shared" ca="1" si="1"/>
        <v>661.05431038563427</v>
      </c>
      <c r="D50" s="29">
        <f ca="1">August_DI!L2</f>
        <v>4.7719715780110761</v>
      </c>
      <c r="E50" s="30">
        <f t="shared" ca="1" si="2"/>
        <v>1424.1970484344313</v>
      </c>
      <c r="F50" s="30">
        <f t="shared" ca="1" si="0"/>
        <v>118.68308736953594</v>
      </c>
      <c r="G50" s="31">
        <v>545</v>
      </c>
      <c r="H50" s="6">
        <f t="shared" ca="1" si="3"/>
        <v>2.6287769839016306</v>
      </c>
      <c r="I50" s="6">
        <f t="shared" ca="1" si="4"/>
        <v>30875.303275233546</v>
      </c>
      <c r="L50" s="1"/>
      <c r="M50" s="1"/>
      <c r="N50" s="7"/>
      <c r="O50" s="7"/>
    </row>
    <row r="51" spans="1:15">
      <c r="A51" s="32"/>
      <c r="B51" s="27" t="s">
        <v>12</v>
      </c>
      <c r="C51" s="28">
        <f t="shared" ca="1" si="1"/>
        <v>668.683087369536</v>
      </c>
      <c r="D51" s="29">
        <f ca="1">Septembrie_DI!L2</f>
        <v>4.3673824317315333</v>
      </c>
      <c r="E51" s="30">
        <f t="shared" ca="1" si="2"/>
        <v>1453.4009961161685</v>
      </c>
      <c r="F51" s="30">
        <f t="shared" ca="1" si="0"/>
        <v>121.11674967634737</v>
      </c>
      <c r="G51" s="31">
        <v>550</v>
      </c>
      <c r="H51" s="6">
        <f t="shared" ca="1" si="3"/>
        <v>2.4336623068114278</v>
      </c>
      <c r="I51" s="6">
        <f t="shared" ca="1" si="4"/>
        <v>31543.986362603082</v>
      </c>
      <c r="L51" s="1"/>
      <c r="M51" s="1"/>
      <c r="N51" s="7"/>
      <c r="O51" s="7"/>
    </row>
    <row r="52" spans="1:15">
      <c r="A52" s="32"/>
      <c r="B52" s="27" t="s">
        <v>13</v>
      </c>
      <c r="C52" s="28">
        <f t="shared" ca="1" si="1"/>
        <v>726.11674967634735</v>
      </c>
      <c r="D52" s="29">
        <f ca="1">Octombrie_DI!L2</f>
        <v>4.8692063709065785</v>
      </c>
      <c r="E52" s="30">
        <f t="shared" ca="1" si="2"/>
        <v>1488.757119151629</v>
      </c>
      <c r="F52" s="30">
        <f t="shared" ca="1" si="0"/>
        <v>124.06309326263575</v>
      </c>
      <c r="G52" s="31">
        <v>605</v>
      </c>
      <c r="H52" s="6">
        <f t="shared" ca="1" si="3"/>
        <v>2.9463435862883784</v>
      </c>
      <c r="I52" s="6">
        <f t="shared" ca="1" si="4"/>
        <v>32270.10311227943</v>
      </c>
      <c r="L52" s="1"/>
      <c r="M52" s="1"/>
      <c r="N52" s="7"/>
      <c r="O52" s="7"/>
    </row>
    <row r="53" spans="1:15">
      <c r="A53" s="32"/>
      <c r="B53" s="27" t="s">
        <v>14</v>
      </c>
      <c r="C53" s="28">
        <f t="shared" ca="1" si="1"/>
        <v>679.06309326263579</v>
      </c>
      <c r="D53" s="29">
        <f ca="1">Noiembrie_DI!L2</f>
        <v>5.2305522455478881</v>
      </c>
      <c r="E53" s="30">
        <f t="shared" ca="1" si="2"/>
        <v>1524.2758690249648</v>
      </c>
      <c r="F53" s="30">
        <f t="shared" ca="1" si="0"/>
        <v>127.02298908541373</v>
      </c>
      <c r="G53" s="31">
        <v>555</v>
      </c>
      <c r="H53" s="6">
        <f t="shared" ca="1" si="3"/>
        <v>2.9598958227779804</v>
      </c>
      <c r="I53" s="6">
        <f t="shared" ca="1" si="4"/>
        <v>32949.166205542067</v>
      </c>
      <c r="L53" s="1"/>
      <c r="M53" s="1"/>
      <c r="N53" s="7"/>
      <c r="O53" s="7"/>
    </row>
    <row r="54" spans="1:15">
      <c r="A54" s="32"/>
      <c r="B54" s="27" t="s">
        <v>15</v>
      </c>
      <c r="C54" s="28">
        <f t="shared" ca="1" si="1"/>
        <v>677.02298908541377</v>
      </c>
      <c r="D54" s="29">
        <f ca="1">Decembrie_DI!L2</f>
        <v>4.559227844368035</v>
      </c>
      <c r="E54" s="30">
        <f t="shared" ca="1" si="2"/>
        <v>1555.1428896561197</v>
      </c>
      <c r="F54" s="30">
        <f t="shared" ca="1" si="0"/>
        <v>129.59524080467665</v>
      </c>
      <c r="G54" s="31">
        <v>550</v>
      </c>
      <c r="H54" s="6">
        <f t="shared" ca="1" si="3"/>
        <v>2.5722517192629226</v>
      </c>
      <c r="I54" s="6">
        <f t="shared" ca="1" si="4"/>
        <v>33626.189194627485</v>
      </c>
      <c r="L54" s="1"/>
      <c r="M54" s="1"/>
      <c r="N54" s="7"/>
      <c r="O54" s="7"/>
    </row>
    <row r="55" spans="1:15">
      <c r="A55" s="1">
        <v>2027</v>
      </c>
      <c r="B55" s="2" t="s">
        <v>16</v>
      </c>
      <c r="C55" s="35">
        <f t="shared" ca="1" si="1"/>
        <v>654.59524080467668</v>
      </c>
      <c r="D55" s="22">
        <f ca="1">Ianuarie_DI!L2</f>
        <v>4.1184932616559795</v>
      </c>
      <c r="E55" s="23">
        <f t="shared" ca="1" si="2"/>
        <v>1582.1023505397811</v>
      </c>
      <c r="F55" s="23">
        <f t="shared" ca="1" si="0"/>
        <v>131.84186254498175</v>
      </c>
      <c r="G55" s="24">
        <v>525</v>
      </c>
      <c r="H55" s="6">
        <f t="shared" ca="1" si="3"/>
        <v>2.2466217403051019</v>
      </c>
      <c r="I55" s="6">
        <f t="shared" ca="1" si="4"/>
        <v>34280.784435432164</v>
      </c>
      <c r="J55" s="1"/>
      <c r="L55" s="1"/>
      <c r="M55" s="1"/>
      <c r="N55" s="7"/>
      <c r="O55" s="7"/>
    </row>
    <row r="56" spans="1:15">
      <c r="B56" s="34" t="s">
        <v>17</v>
      </c>
      <c r="C56" s="35">
        <f t="shared" ca="1" si="1"/>
        <v>631.84186254498172</v>
      </c>
      <c r="D56" s="22">
        <f ca="1">Februarie_DI!L2</f>
        <v>5.8525272600051794</v>
      </c>
      <c r="E56" s="23">
        <f t="shared" ca="1" si="2"/>
        <v>1619.0810677853506</v>
      </c>
      <c r="F56" s="23">
        <f t="shared" ca="1" si="0"/>
        <v>134.92342231544589</v>
      </c>
      <c r="G56" s="24">
        <v>500</v>
      </c>
      <c r="H56" s="6">
        <f t="shared" ca="1" si="3"/>
        <v>3.0815597704641391</v>
      </c>
      <c r="I56" s="6">
        <f t="shared" ca="1" si="4"/>
        <v>34912.626297977149</v>
      </c>
      <c r="K56" s="34"/>
      <c r="L56" s="1"/>
      <c r="M56" s="1"/>
      <c r="N56" s="7"/>
      <c r="O56" s="7"/>
    </row>
    <row r="57" spans="1:15">
      <c r="B57" s="2" t="s">
        <v>18</v>
      </c>
      <c r="C57" s="35">
        <f t="shared" ca="1" si="1"/>
        <v>674.92342231544592</v>
      </c>
      <c r="D57" s="22">
        <f ca="1">Martie_DI!L2</f>
        <v>4.4468865696382798</v>
      </c>
      <c r="E57" s="23">
        <f t="shared" ca="1" si="2"/>
        <v>1649.0941468076392</v>
      </c>
      <c r="F57" s="23">
        <f t="shared" ca="1" si="0"/>
        <v>137.42451223396992</v>
      </c>
      <c r="G57" s="24">
        <v>540</v>
      </c>
      <c r="H57" s="6">
        <f t="shared" ca="1" si="3"/>
        <v>2.5010899185240305</v>
      </c>
      <c r="I57" s="6">
        <f t="shared" ca="1" si="4"/>
        <v>35587.549720292598</v>
      </c>
      <c r="L57" s="1"/>
      <c r="M57" s="1"/>
      <c r="N57" s="7"/>
      <c r="O57" s="7"/>
    </row>
    <row r="58" spans="1:15">
      <c r="A58" s="2" t="s">
        <v>24</v>
      </c>
      <c r="B58" s="2" t="s">
        <v>19</v>
      </c>
      <c r="C58" s="35">
        <f t="shared" ca="1" si="1"/>
        <v>712.42451223396995</v>
      </c>
      <c r="D58" s="22">
        <f ca="1">Aprilie_DI!L2</f>
        <v>4.268448723687106</v>
      </c>
      <c r="E58" s="23">
        <f t="shared" ca="1" si="2"/>
        <v>1679.5036218073242</v>
      </c>
      <c r="F58" s="23">
        <f t="shared" ca="1" si="0"/>
        <v>139.95863515061035</v>
      </c>
      <c r="G58" s="24">
        <v>575</v>
      </c>
      <c r="H58" s="6">
        <f t="shared" ca="1" si="3"/>
        <v>2.5341229166404275</v>
      </c>
      <c r="I58" s="6">
        <f t="shared" ca="1" si="4"/>
        <v>36299.974232526569</v>
      </c>
      <c r="L58" s="1"/>
      <c r="M58" s="1"/>
      <c r="N58" s="7"/>
      <c r="O58" s="7"/>
    </row>
    <row r="59" spans="1:15">
      <c r="B59" s="2" t="s">
        <v>20</v>
      </c>
      <c r="C59" s="35">
        <f t="shared" ca="1" si="1"/>
        <v>759.95863515061035</v>
      </c>
      <c r="D59" s="22">
        <f ca="1">May_DI!L2</f>
        <v>4.2955563376049772</v>
      </c>
      <c r="E59" s="23">
        <f t="shared" ca="1" si="2"/>
        <v>1712.1480731227125</v>
      </c>
      <c r="F59" s="23">
        <f t="shared" ca="1" si="0"/>
        <v>142.67900609355937</v>
      </c>
      <c r="G59" s="24">
        <v>620</v>
      </c>
      <c r="H59" s="6">
        <f t="shared" ca="1" si="3"/>
        <v>2.7203709429490175</v>
      </c>
      <c r="I59" s="6">
        <f t="shared" ca="1" si="4"/>
        <v>37059.932867677177</v>
      </c>
      <c r="L59" s="1"/>
      <c r="M59" s="1"/>
      <c r="N59" s="7"/>
      <c r="O59" s="7"/>
    </row>
    <row r="60" spans="1:15">
      <c r="B60" s="2" t="s">
        <v>21</v>
      </c>
      <c r="C60" s="35">
        <f t="shared" ca="1" si="1"/>
        <v>642.67900609355934</v>
      </c>
      <c r="D60" s="22">
        <f ca="1">Iunie_DI!L2</f>
        <v>4.7808094913965338</v>
      </c>
      <c r="E60" s="23">
        <f t="shared" ca="1" si="2"/>
        <v>1742.8733320452463</v>
      </c>
      <c r="F60" s="23">
        <f t="shared" ca="1" si="0"/>
        <v>145.23944433710386</v>
      </c>
      <c r="G60" s="24">
        <v>500</v>
      </c>
      <c r="H60" s="6">
        <f t="shared" ca="1" si="3"/>
        <v>2.5604382435444961</v>
      </c>
      <c r="I60" s="6">
        <f t="shared" ca="1" si="4"/>
        <v>37702.611873770737</v>
      </c>
      <c r="L60" s="1"/>
      <c r="M60" s="1"/>
      <c r="N60" s="7"/>
      <c r="O60" s="7"/>
    </row>
    <row r="61" spans="1:15">
      <c r="B61" s="2" t="s">
        <v>22</v>
      </c>
      <c r="C61" s="35">
        <f t="shared" ca="1" si="1"/>
        <v>645.23944433710381</v>
      </c>
      <c r="D61" s="22">
        <f ca="1">Iulie_DI!L2</f>
        <v>4.7281946685047753</v>
      </c>
      <c r="E61" s="23">
        <f t="shared" ca="1" si="2"/>
        <v>1773.3815090514831</v>
      </c>
      <c r="F61" s="23">
        <f t="shared" ca="1" si="0"/>
        <v>147.78179242095692</v>
      </c>
      <c r="G61" s="24">
        <v>500</v>
      </c>
      <c r="H61" s="6">
        <f t="shared" ca="1" si="3"/>
        <v>2.5423480838530566</v>
      </c>
      <c r="I61" s="6">
        <f t="shared" ca="1" si="4"/>
        <v>38347.851318107838</v>
      </c>
      <c r="L61" s="1"/>
      <c r="M61" s="1"/>
      <c r="N61" s="7"/>
      <c r="O61" s="7"/>
    </row>
    <row r="62" spans="1:15">
      <c r="B62" s="2" t="s">
        <v>11</v>
      </c>
      <c r="C62" s="35">
        <f t="shared" ca="1" si="1"/>
        <v>692.78179242095689</v>
      </c>
      <c r="D62" s="22">
        <f ca="1">August_DI!L2</f>
        <v>4.7719715780110761</v>
      </c>
      <c r="E62" s="23">
        <f t="shared" ca="1" si="2"/>
        <v>1806.4408592834468</v>
      </c>
      <c r="F62" s="23">
        <f t="shared" ca="1" si="0"/>
        <v>150.53673827362056</v>
      </c>
      <c r="G62" s="24">
        <v>545</v>
      </c>
      <c r="H62" s="6">
        <f t="shared" ca="1" si="3"/>
        <v>2.7549458526636386</v>
      </c>
      <c r="I62" s="6">
        <f t="shared" ca="1" si="4"/>
        <v>39040.633110528797</v>
      </c>
      <c r="L62" s="1"/>
      <c r="M62" s="1"/>
      <c r="N62" s="7"/>
      <c r="O62" s="7"/>
    </row>
    <row r="63" spans="1:15">
      <c r="B63" s="2" t="s">
        <v>12</v>
      </c>
      <c r="C63" s="35">
        <f t="shared" ca="1" si="1"/>
        <v>700.53673827362059</v>
      </c>
      <c r="D63" s="22">
        <f ca="1">Septembrie_DI!L2</f>
        <v>4.3673824317315333</v>
      </c>
      <c r="E63" s="23">
        <f t="shared" ca="1" si="2"/>
        <v>1837.0359777186341</v>
      </c>
      <c r="F63" s="23">
        <f t="shared" ca="1" si="0"/>
        <v>153.08633147655283</v>
      </c>
      <c r="G63" s="24">
        <v>550</v>
      </c>
      <c r="H63" s="6">
        <f t="shared" ca="1" si="3"/>
        <v>2.5495932029322717</v>
      </c>
      <c r="I63" s="6">
        <f t="shared" ca="1" si="4"/>
        <v>39741.169848802419</v>
      </c>
      <c r="L63" s="1"/>
      <c r="M63" s="1"/>
      <c r="N63" s="7"/>
      <c r="O63" s="7"/>
    </row>
    <row r="64" spans="1:15">
      <c r="A64" s="2" t="s">
        <v>25</v>
      </c>
      <c r="B64" s="2" t="s">
        <v>13</v>
      </c>
      <c r="C64" s="35">
        <f t="shared" ca="1" si="1"/>
        <v>758.0863314765528</v>
      </c>
      <c r="D64" s="22">
        <f ca="1">Octombrie_DI!L2</f>
        <v>4.8692063709065785</v>
      </c>
      <c r="E64" s="23">
        <f t="shared" ca="1" si="2"/>
        <v>1873.9487656678623</v>
      </c>
      <c r="F64" s="23">
        <f t="shared" ca="1" si="0"/>
        <v>156.16239713898852</v>
      </c>
      <c r="G64" s="24">
        <v>605</v>
      </c>
      <c r="H64" s="6">
        <f t="shared" ca="1" si="3"/>
        <v>3.0760656624356955</v>
      </c>
      <c r="I64" s="6">
        <f t="shared" ca="1" si="4"/>
        <v>40499.256180278971</v>
      </c>
      <c r="L64" s="1"/>
      <c r="M64" s="1"/>
      <c r="N64" s="7"/>
      <c r="O64" s="7"/>
    </row>
    <row r="65" spans="1:28">
      <c r="A65" s="2" t="s">
        <v>26</v>
      </c>
      <c r="B65" s="2" t="s">
        <v>14</v>
      </c>
      <c r="C65" s="35">
        <f t="shared" ca="1" si="1"/>
        <v>1356.1623971389886</v>
      </c>
      <c r="D65" s="22">
        <f ca="1">Noiembrie_DI!L2</f>
        <v>5.2305522455478881</v>
      </c>
      <c r="E65" s="23">
        <f t="shared" ca="1" si="2"/>
        <v>1944.8835483846917</v>
      </c>
      <c r="F65" s="23">
        <f t="shared" ca="1" si="0"/>
        <v>162.07362903205765</v>
      </c>
      <c r="G65" s="24">
        <f>555+645</f>
        <v>1200</v>
      </c>
      <c r="H65" s="6">
        <f t="shared" ca="1" si="3"/>
        <v>5.9112318930691288</v>
      </c>
      <c r="I65" s="6">
        <f t="shared" ca="1" si="4"/>
        <v>41855.418577417957</v>
      </c>
      <c r="L65" s="1"/>
      <c r="M65" s="1"/>
      <c r="N65" s="7"/>
      <c r="O65" s="7"/>
    </row>
    <row r="66" spans="1:28">
      <c r="A66" s="36"/>
      <c r="B66" s="37" t="s">
        <v>15</v>
      </c>
      <c r="C66" s="35">
        <f t="shared" ca="1" si="1"/>
        <v>1357.0736290320576</v>
      </c>
      <c r="D66" s="22">
        <f ca="1">Decembrie_DI!L2</f>
        <v>4.559227844368035</v>
      </c>
      <c r="E66" s="38">
        <f t="shared" ca="1" si="2"/>
        <v>2006.7556271480971</v>
      </c>
      <c r="F66" s="38">
        <f t="shared" ca="1" si="0"/>
        <v>167.22963559567475</v>
      </c>
      <c r="G66" s="24">
        <f>550+645</f>
        <v>1195</v>
      </c>
      <c r="H66" s="6">
        <f t="shared" ca="1" si="3"/>
        <v>5.1560065636170975</v>
      </c>
      <c r="I66" s="6">
        <f t="shared" ca="1" si="4"/>
        <v>43212.492206450013</v>
      </c>
      <c r="J66" s="36"/>
      <c r="K66" s="37"/>
      <c r="L66" s="39"/>
      <c r="M66" s="1"/>
      <c r="N66" s="40"/>
      <c r="O66" s="40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>
      <c r="A67" s="26">
        <v>2028</v>
      </c>
      <c r="B67" s="27" t="s">
        <v>16</v>
      </c>
      <c r="C67" s="28">
        <f t="shared" ca="1" si="1"/>
        <v>1337.2296355956748</v>
      </c>
      <c r="D67" s="29">
        <f ca="1">Ianuarie_DI!L2</f>
        <v>4.1184932616559795</v>
      </c>
      <c r="E67" s="30">
        <f t="shared" ca="1" si="2"/>
        <v>2061.8293395829719</v>
      </c>
      <c r="F67" s="30">
        <f t="shared" ca="1" si="0"/>
        <v>171.81911163191432</v>
      </c>
      <c r="G67" s="31">
        <f>525+645</f>
        <v>1170</v>
      </c>
      <c r="H67" s="6">
        <f t="shared" ca="1" si="3"/>
        <v>4.5894760362395743</v>
      </c>
      <c r="I67" s="6">
        <f t="shared" ca="1" si="4"/>
        <v>44549.721842045685</v>
      </c>
      <c r="J67" s="1"/>
      <c r="L67" s="1"/>
      <c r="M67" s="1"/>
      <c r="N67" s="7"/>
      <c r="O67" s="7"/>
    </row>
    <row r="68" spans="1:28">
      <c r="A68" s="32"/>
      <c r="B68" s="33" t="s">
        <v>17</v>
      </c>
      <c r="C68" s="28">
        <f t="shared" ca="1" si="1"/>
        <v>1316.8191116319144</v>
      </c>
      <c r="D68" s="29">
        <f ca="1">Februarie_DI!L2</f>
        <v>5.8525272600051794</v>
      </c>
      <c r="E68" s="30">
        <f t="shared" ca="1" si="2"/>
        <v>2138.8965370561878</v>
      </c>
      <c r="F68" s="30">
        <f t="shared" ca="1" si="0"/>
        <v>178.24137808801564</v>
      </c>
      <c r="G68" s="31">
        <f>500+645</f>
        <v>1145</v>
      </c>
      <c r="H68" s="6">
        <f t="shared" ca="1" si="3"/>
        <v>6.4222664561013119</v>
      </c>
      <c r="I68" s="6">
        <f t="shared" ca="1" si="4"/>
        <v>45866.540953677599</v>
      </c>
      <c r="K68" s="34"/>
      <c r="L68" s="1"/>
      <c r="M68" s="1"/>
      <c r="N68" s="7"/>
      <c r="O68" s="7"/>
    </row>
    <row r="69" spans="1:28">
      <c r="A69" s="32"/>
      <c r="B69" s="27" t="s">
        <v>18</v>
      </c>
      <c r="C69" s="28">
        <f t="shared" ca="1" si="1"/>
        <v>718.24137808801561</v>
      </c>
      <c r="D69" s="29">
        <f ca="1">Martie_DI!L2</f>
        <v>4.4468865696382798</v>
      </c>
      <c r="E69" s="30">
        <f t="shared" ca="1" si="2"/>
        <v>2170.8359164359686</v>
      </c>
      <c r="F69" s="30">
        <f t="shared" ca="1" si="0"/>
        <v>180.90299303633071</v>
      </c>
      <c r="G69" s="31">
        <v>540</v>
      </c>
      <c r="H69" s="6">
        <f t="shared" ca="1" si="3"/>
        <v>2.6616149483150764</v>
      </c>
      <c r="I69" s="6">
        <f t="shared" ca="1" si="4"/>
        <v>46584.782331765615</v>
      </c>
      <c r="L69" s="1"/>
      <c r="M69" s="1"/>
      <c r="N69" s="7"/>
      <c r="O69" s="7"/>
    </row>
    <row r="70" spans="1:28">
      <c r="A70" s="32"/>
      <c r="B70" s="27" t="s">
        <v>19</v>
      </c>
      <c r="C70" s="28">
        <f t="shared" ca="1" si="1"/>
        <v>755.90299303633071</v>
      </c>
      <c r="D70" s="29">
        <f ca="1">Aprilie_DI!L2</f>
        <v>4.268448723687106</v>
      </c>
      <c r="E70" s="30">
        <f t="shared" ca="1" si="2"/>
        <v>2203.1012480945406</v>
      </c>
      <c r="F70" s="30">
        <f t="shared" ca="1" si="0"/>
        <v>183.59177067454505</v>
      </c>
      <c r="G70" s="31">
        <v>575</v>
      </c>
      <c r="H70" s="6">
        <f t="shared" ca="1" si="3"/>
        <v>2.6887776382143329</v>
      </c>
      <c r="I70" s="6">
        <f t="shared" ca="1" si="4"/>
        <v>47340.685324801947</v>
      </c>
      <c r="L70" s="1"/>
      <c r="M70" s="1"/>
      <c r="N70" s="7"/>
      <c r="O70" s="7"/>
    </row>
    <row r="71" spans="1:28">
      <c r="A71" s="32"/>
      <c r="B71" s="27" t="s">
        <v>20</v>
      </c>
      <c r="C71" s="28">
        <f t="shared" ca="1" si="1"/>
        <v>773.59177067454505</v>
      </c>
      <c r="D71" s="29">
        <f ca="1">May_DI!L2</f>
        <v>4.2955563376049772</v>
      </c>
      <c r="E71" s="30">
        <f t="shared" ca="1" si="2"/>
        <v>2236.3313184269414</v>
      </c>
      <c r="F71" s="30">
        <f t="shared" ca="1" si="0"/>
        <v>186.36094320224512</v>
      </c>
      <c r="G71" s="31">
        <v>590</v>
      </c>
      <c r="H71" s="6">
        <f t="shared" ca="1" si="3"/>
        <v>2.7691725277000785</v>
      </c>
      <c r="I71" s="6">
        <f t="shared" ca="1" si="4"/>
        <v>48114.277095476493</v>
      </c>
      <c r="L71" s="1"/>
      <c r="M71" s="1"/>
      <c r="N71" s="7"/>
      <c r="O71" s="7"/>
    </row>
    <row r="72" spans="1:28">
      <c r="A72" s="32"/>
      <c r="B72" s="27" t="s">
        <v>21</v>
      </c>
      <c r="C72" s="28">
        <f t="shared" ca="1" si="1"/>
        <v>686.36094320224515</v>
      </c>
      <c r="D72" s="29">
        <f ca="1">Iunie_DI!L2</f>
        <v>4.7808094913965338</v>
      </c>
      <c r="E72" s="30">
        <f t="shared" ca="1" si="2"/>
        <v>2269.1449275447931</v>
      </c>
      <c r="F72" s="30">
        <f t="shared" ca="1" si="0"/>
        <v>189.09541062873276</v>
      </c>
      <c r="G72" s="31">
        <v>500</v>
      </c>
      <c r="H72" s="6">
        <f t="shared" ca="1" si="3"/>
        <v>2.7344674264876403</v>
      </c>
      <c r="I72" s="6">
        <f t="shared" ca="1" si="4"/>
        <v>48800.638038678735</v>
      </c>
      <c r="L72" s="1"/>
      <c r="M72" s="1"/>
      <c r="N72" s="7"/>
      <c r="O72" s="7"/>
    </row>
    <row r="73" spans="1:28">
      <c r="A73" s="32"/>
      <c r="B73" s="27" t="s">
        <v>22</v>
      </c>
      <c r="C73" s="28">
        <f t="shared" ca="1" si="1"/>
        <v>739.09541062873279</v>
      </c>
      <c r="D73" s="29">
        <f ca="1">Iulie_DI!L2</f>
        <v>4.7281946685047753</v>
      </c>
      <c r="E73" s="30">
        <f t="shared" ca="1" si="2"/>
        <v>2304.0907973453041</v>
      </c>
      <c r="F73" s="30">
        <f t="shared" ca="1" si="0"/>
        <v>192.007566445442</v>
      </c>
      <c r="G73" s="31">
        <v>550</v>
      </c>
      <c r="H73" s="6">
        <f t="shared" ca="1" si="3"/>
        <v>2.9121558167092303</v>
      </c>
      <c r="I73" s="6">
        <f t="shared" ca="1" si="4"/>
        <v>49539.733449307467</v>
      </c>
      <c r="L73" s="1"/>
      <c r="M73" s="1"/>
      <c r="N73" s="7"/>
      <c r="O73" s="7"/>
    </row>
    <row r="74" spans="1:28">
      <c r="A74" s="32"/>
      <c r="B74" s="27" t="s">
        <v>11</v>
      </c>
      <c r="C74" s="28">
        <f t="shared" ca="1" si="1"/>
        <v>737.00756644544197</v>
      </c>
      <c r="D74" s="29">
        <f ca="1">August_DI!L2</f>
        <v>4.7719715780110761</v>
      </c>
      <c r="E74" s="30">
        <f t="shared" ca="1" si="2"/>
        <v>2339.2605889438714</v>
      </c>
      <c r="F74" s="30">
        <f t="shared" ca="1" si="0"/>
        <v>194.93838241198929</v>
      </c>
      <c r="G74" s="31">
        <v>545</v>
      </c>
      <c r="H74" s="6">
        <f t="shared" ca="1" si="3"/>
        <v>2.9308159665472999</v>
      </c>
      <c r="I74" s="6">
        <f t="shared" ca="1" si="4"/>
        <v>50276.741015752908</v>
      </c>
      <c r="L74" s="1"/>
      <c r="M74" s="1"/>
      <c r="N74" s="7"/>
      <c r="O74" s="7"/>
    </row>
    <row r="75" spans="1:28">
      <c r="A75" s="32"/>
      <c r="B75" s="27" t="s">
        <v>12</v>
      </c>
      <c r="C75" s="28">
        <f t="shared" ca="1" si="1"/>
        <v>744.93838241198932</v>
      </c>
      <c r="D75" s="29">
        <f ca="1">Septembrie_DI!L2</f>
        <v>4.3673824317315333</v>
      </c>
      <c r="E75" s="30">
        <f t="shared" ca="1" si="2"/>
        <v>2371.7948969845579</v>
      </c>
      <c r="F75" s="30">
        <f t="shared" ca="1" si="0"/>
        <v>197.64957474871315</v>
      </c>
      <c r="G75" s="31">
        <v>550</v>
      </c>
      <c r="H75" s="6">
        <f t="shared" ca="1" si="3"/>
        <v>2.7111923367238546</v>
      </c>
      <c r="I75" s="6">
        <f t="shared" ca="1" si="4"/>
        <v>51021.679398164895</v>
      </c>
      <c r="L75" s="1"/>
      <c r="M75" s="1"/>
      <c r="N75" s="7"/>
      <c r="O75" s="7"/>
    </row>
    <row r="76" spans="1:28">
      <c r="A76" s="32"/>
      <c r="B76" s="27" t="s">
        <v>13</v>
      </c>
      <c r="C76" s="28">
        <f t="shared" ca="1" si="1"/>
        <v>802.64957474871312</v>
      </c>
      <c r="D76" s="29">
        <f ca="1">Octombrie_DI!L2</f>
        <v>4.8692063709065785</v>
      </c>
      <c r="E76" s="30">
        <f t="shared" ca="1" si="2"/>
        <v>2410.8775612142767</v>
      </c>
      <c r="F76" s="30">
        <f t="shared" ca="1" si="0"/>
        <v>200.90646343452306</v>
      </c>
      <c r="G76" s="31">
        <v>605</v>
      </c>
      <c r="H76" s="6">
        <f t="shared" ca="1" si="3"/>
        <v>3.256888685809912</v>
      </c>
      <c r="I76" s="6">
        <f t="shared" ca="1" si="4"/>
        <v>51824.328972913609</v>
      </c>
      <c r="L76" s="1"/>
      <c r="M76" s="1"/>
      <c r="N76" s="7"/>
      <c r="O76" s="7"/>
    </row>
    <row r="77" spans="1:28">
      <c r="A77" s="32"/>
      <c r="B77" s="27" t="s">
        <v>14</v>
      </c>
      <c r="C77" s="28">
        <f t="shared" ca="1" si="1"/>
        <v>755.90646343452306</v>
      </c>
      <c r="D77" s="29">
        <f ca="1">Noiembrie_DI!L2</f>
        <v>5.2305522455478881</v>
      </c>
      <c r="E77" s="30">
        <f t="shared" ca="1" si="2"/>
        <v>2450.4156437116926</v>
      </c>
      <c r="F77" s="30">
        <f t="shared" ca="1" si="0"/>
        <v>204.20130364264105</v>
      </c>
      <c r="G77" s="31">
        <v>555</v>
      </c>
      <c r="H77" s="6">
        <f t="shared" ca="1" si="3"/>
        <v>3.2948402081179893</v>
      </c>
      <c r="I77" s="6">
        <f t="shared" ca="1" si="4"/>
        <v>52580.235436348128</v>
      </c>
      <c r="L77" s="1"/>
      <c r="M77" s="1"/>
      <c r="N77" s="7"/>
      <c r="O77" s="7"/>
    </row>
    <row r="78" spans="1:28">
      <c r="A78" s="1" t="s">
        <v>27</v>
      </c>
      <c r="B78" s="27" t="s">
        <v>15</v>
      </c>
      <c r="C78" s="28">
        <f t="shared" ca="1" si="1"/>
        <v>754.20130364264105</v>
      </c>
      <c r="D78" s="29">
        <f ca="1">Decembrie_DI!L2</f>
        <v>4.559227844368035</v>
      </c>
      <c r="E78" s="30">
        <f t="shared" ca="1" si="2"/>
        <v>2484.8013995499546</v>
      </c>
      <c r="F78" s="30">
        <f t="shared" ca="1" si="0"/>
        <v>207.06678329582954</v>
      </c>
      <c r="G78" s="31">
        <v>550</v>
      </c>
      <c r="H78" s="6">
        <f t="shared" ca="1" si="3"/>
        <v>2.865479653188487</v>
      </c>
      <c r="I78" s="6">
        <f t="shared" ca="1" si="4"/>
        <v>53334.436739990771</v>
      </c>
      <c r="L78" s="1"/>
      <c r="M78" s="1"/>
      <c r="N78" s="7"/>
      <c r="O78" s="7"/>
    </row>
    <row r="79" spans="1:28">
      <c r="A79" s="1">
        <v>2029</v>
      </c>
      <c r="B79" s="2" t="s">
        <v>16</v>
      </c>
      <c r="C79" s="35">
        <f t="shared" ca="1" si="1"/>
        <v>732.06678329582951</v>
      </c>
      <c r="D79" s="22">
        <f ca="1">Ianuarie_DI!L2</f>
        <v>4.1184932616559795</v>
      </c>
      <c r="E79" s="23">
        <f t="shared" ca="1" si="2"/>
        <v>2514.951520690815</v>
      </c>
      <c r="F79" s="23">
        <f t="shared" ca="1" si="0"/>
        <v>209.57929339090126</v>
      </c>
      <c r="G79" s="24">
        <v>525</v>
      </c>
      <c r="H79" s="6">
        <f t="shared" ca="1" si="3"/>
        <v>2.5125100950717183</v>
      </c>
      <c r="I79" s="6">
        <f t="shared" ca="1" si="4"/>
        <v>54066.503523286599</v>
      </c>
      <c r="J79" s="1"/>
      <c r="L79" s="1"/>
      <c r="M79" s="1"/>
      <c r="N79" s="7"/>
      <c r="O79" s="7"/>
    </row>
    <row r="80" spans="1:28">
      <c r="B80" s="34" t="s">
        <v>17</v>
      </c>
      <c r="C80" s="35">
        <f t="shared" ca="1" si="1"/>
        <v>709.57929339090128</v>
      </c>
      <c r="D80" s="22">
        <f ca="1">Februarie_DI!L2</f>
        <v>5.8525272600051794</v>
      </c>
      <c r="E80" s="23">
        <f t="shared" ca="1" si="2"/>
        <v>2556.4798422678696</v>
      </c>
      <c r="F80" s="23">
        <f t="shared" ca="1" si="0"/>
        <v>213.0399868556558</v>
      </c>
      <c r="G80" s="24">
        <v>500</v>
      </c>
      <c r="H80" s="6">
        <f t="shared" ca="1" si="3"/>
        <v>3.4606934647545415</v>
      </c>
      <c r="I80" s="6">
        <f t="shared" ca="1" si="4"/>
        <v>54776.082816677503</v>
      </c>
      <c r="K80" s="34"/>
      <c r="L80" s="1"/>
      <c r="M80" s="1"/>
      <c r="N80" s="7"/>
      <c r="O80" s="7"/>
    </row>
    <row r="81" spans="1:15">
      <c r="B81" s="2" t="s">
        <v>18</v>
      </c>
      <c r="C81" s="35">
        <f t="shared" ca="1" si="1"/>
        <v>753.0399868556558</v>
      </c>
      <c r="D81" s="22">
        <f ca="1">Martie_DI!L2</f>
        <v>4.4468865696382798</v>
      </c>
      <c r="E81" s="23">
        <f t="shared" ca="1" si="2"/>
        <v>2589.9666763073596</v>
      </c>
      <c r="F81" s="23">
        <f t="shared" ca="1" si="0"/>
        <v>215.83055635894664</v>
      </c>
      <c r="G81" s="24">
        <v>540</v>
      </c>
      <c r="H81" s="6">
        <f t="shared" ca="1" si="3"/>
        <v>2.7905695032908397</v>
      </c>
      <c r="I81" s="6">
        <f t="shared" ca="1" si="4"/>
        <v>55529.122803533159</v>
      </c>
      <c r="L81" s="1"/>
      <c r="M81" s="1"/>
      <c r="N81" s="7"/>
      <c r="O81" s="7"/>
    </row>
    <row r="82" spans="1:15">
      <c r="B82" s="2" t="s">
        <v>19</v>
      </c>
      <c r="C82" s="35">
        <f t="shared" ca="1" si="1"/>
        <v>790.83055635894664</v>
      </c>
      <c r="D82" s="22">
        <f ca="1">Aprilie_DI!L2</f>
        <v>4.268448723687106</v>
      </c>
      <c r="E82" s="23">
        <f t="shared" ca="1" si="2"/>
        <v>2623.7228730967909</v>
      </c>
      <c r="F82" s="23">
        <f t="shared" ca="1" si="0"/>
        <v>218.64357275806591</v>
      </c>
      <c r="G82" s="24">
        <v>575</v>
      </c>
      <c r="H82" s="6">
        <f t="shared" ca="1" si="3"/>
        <v>2.8130163991192774</v>
      </c>
      <c r="I82" s="6">
        <f t="shared" ca="1" si="4"/>
        <v>56319.953359892104</v>
      </c>
      <c r="L82" s="1"/>
      <c r="M82" s="1"/>
      <c r="N82" s="7"/>
      <c r="O82" s="7"/>
    </row>
    <row r="83" spans="1:15">
      <c r="B83" s="2" t="s">
        <v>20</v>
      </c>
      <c r="C83" s="35">
        <f t="shared" ca="1" si="1"/>
        <v>838.64357275806594</v>
      </c>
      <c r="D83" s="22">
        <f ca="1">May_DI!L2</f>
        <v>4.2955563376049772</v>
      </c>
      <c r="E83" s="23">
        <f t="shared" ca="1" si="2"/>
        <v>2659.7472802363168</v>
      </c>
      <c r="F83" s="23">
        <f t="shared" ca="1" si="0"/>
        <v>221.64560668635974</v>
      </c>
      <c r="G83" s="24">
        <v>620</v>
      </c>
      <c r="H83" s="6">
        <f t="shared" ca="1" si="3"/>
        <v>3.0020339282938266</v>
      </c>
      <c r="I83" s="6">
        <f t="shared" ca="1" si="4"/>
        <v>57158.596932650173</v>
      </c>
      <c r="L83" s="1"/>
      <c r="M83" s="1"/>
      <c r="N83" s="7"/>
      <c r="O83" s="7"/>
    </row>
    <row r="84" spans="1:15">
      <c r="B84" s="2" t="s">
        <v>21</v>
      </c>
      <c r="C84" s="35">
        <f t="shared" ca="1" si="1"/>
        <v>721.64560668635977</v>
      </c>
      <c r="D84" s="22">
        <f ca="1">Iunie_DI!L2</f>
        <v>4.7808094913965338</v>
      </c>
      <c r="E84" s="23">
        <f t="shared" ca="1" si="2"/>
        <v>2694.2477818950242</v>
      </c>
      <c r="F84" s="23">
        <f t="shared" ca="1" si="0"/>
        <v>224.52064849125202</v>
      </c>
      <c r="G84" s="24">
        <v>500</v>
      </c>
      <c r="H84" s="6">
        <f t="shared" ca="1" si="3"/>
        <v>2.8750418048922768</v>
      </c>
      <c r="I84" s="6">
        <f t="shared" ca="1" si="4"/>
        <v>57880.242539336534</v>
      </c>
      <c r="L84" s="1"/>
      <c r="M84" s="1"/>
      <c r="N84" s="7"/>
      <c r="O84" s="7"/>
    </row>
    <row r="85" spans="1:15">
      <c r="B85" s="2" t="s">
        <v>22</v>
      </c>
      <c r="C85" s="35">
        <f t="shared" ca="1" si="1"/>
        <v>724.52064849125202</v>
      </c>
      <c r="D85" s="22">
        <f ca="1">Iulie_DI!L2</f>
        <v>4.7281946685047753</v>
      </c>
      <c r="E85" s="23">
        <f t="shared" ca="1" si="2"/>
        <v>2728.504528569204</v>
      </c>
      <c r="F85" s="23">
        <f t="shared" ca="1" si="0"/>
        <v>227.37537738076699</v>
      </c>
      <c r="G85" s="24">
        <v>500</v>
      </c>
      <c r="H85" s="6">
        <f t="shared" ca="1" si="3"/>
        <v>2.8547288895149734</v>
      </c>
      <c r="I85" s="6">
        <f t="shared" ca="1" si="4"/>
        <v>58604.763187827783</v>
      </c>
      <c r="L85" s="1"/>
      <c r="M85" s="1"/>
      <c r="N85" s="7"/>
      <c r="O85" s="7"/>
    </row>
    <row r="86" spans="1:15">
      <c r="B86" s="2" t="s">
        <v>11</v>
      </c>
      <c r="C86" s="35">
        <f t="shared" ca="1" si="1"/>
        <v>772.37537738076696</v>
      </c>
      <c r="D86" s="22">
        <f ca="1">August_DI!L2</f>
        <v>4.7719715780110761</v>
      </c>
      <c r="E86" s="23">
        <f t="shared" ca="1" si="2"/>
        <v>2765.3620620533702</v>
      </c>
      <c r="F86" s="23">
        <f t="shared" ca="1" si="0"/>
        <v>230.44683850444753</v>
      </c>
      <c r="G86" s="24">
        <v>545</v>
      </c>
      <c r="H86" s="6">
        <f t="shared" ca="1" si="3"/>
        <v>3.0714611236805354</v>
      </c>
      <c r="I86" s="6">
        <f t="shared" ca="1" si="4"/>
        <v>59377.138565208552</v>
      </c>
      <c r="L86" s="1"/>
      <c r="M86" s="1"/>
      <c r="N86" s="7"/>
      <c r="O86" s="7"/>
    </row>
    <row r="87" spans="1:15">
      <c r="B87" s="2" t="s">
        <v>12</v>
      </c>
      <c r="C87" s="35">
        <f t="shared" ca="1" si="1"/>
        <v>780.44683850444756</v>
      </c>
      <c r="D87" s="22">
        <f ca="1">Septembrie_DI!L2</f>
        <v>4.3673824317315333</v>
      </c>
      <c r="E87" s="23">
        <f t="shared" ca="1" si="2"/>
        <v>2799.4471601672176</v>
      </c>
      <c r="F87" s="23">
        <f t="shared" ca="1" si="0"/>
        <v>233.28726334726812</v>
      </c>
      <c r="G87" s="24">
        <v>550</v>
      </c>
      <c r="H87" s="6">
        <f t="shared" ca="1" si="3"/>
        <v>2.840424842820596</v>
      </c>
      <c r="I87" s="6">
        <f t="shared" ca="1" si="4"/>
        <v>60157.585403712998</v>
      </c>
      <c r="L87" s="1"/>
      <c r="M87" s="1"/>
      <c r="N87" s="7"/>
      <c r="O87" s="7"/>
    </row>
    <row r="88" spans="1:15">
      <c r="B88" s="2" t="s">
        <v>13</v>
      </c>
      <c r="C88" s="35">
        <f t="shared" ca="1" si="1"/>
        <v>838.28726334726809</v>
      </c>
      <c r="D88" s="22">
        <f ca="1">Octombrie_DI!L2</f>
        <v>4.8692063709065785</v>
      </c>
      <c r="E88" s="23">
        <f t="shared" ca="1" si="2"/>
        <v>2840.2650970006212</v>
      </c>
      <c r="F88" s="23">
        <f t="shared" ca="1" si="0"/>
        <v>236.6887580833851</v>
      </c>
      <c r="G88" s="24">
        <v>605</v>
      </c>
      <c r="H88" s="6">
        <f t="shared" ca="1" si="3"/>
        <v>3.4014947361169732</v>
      </c>
      <c r="I88" s="6">
        <f t="shared" ca="1" si="4"/>
        <v>60995.872667060263</v>
      </c>
      <c r="L88" s="1"/>
      <c r="M88" s="1"/>
      <c r="N88" s="7"/>
      <c r="O88" s="7"/>
    </row>
    <row r="89" spans="1:15">
      <c r="B89" s="2" t="s">
        <v>14</v>
      </c>
      <c r="C89" s="35">
        <f t="shared" ca="1" si="1"/>
        <v>791.6887580833851</v>
      </c>
      <c r="D89" s="22">
        <f ca="1">Noiembrie_DI!L2</f>
        <v>5.2305522455478881</v>
      </c>
      <c r="E89" s="23">
        <f t="shared" ca="1" si="2"/>
        <v>2881.674791114302</v>
      </c>
      <c r="F89" s="23">
        <f t="shared" ca="1" si="0"/>
        <v>240.13956592619184</v>
      </c>
      <c r="G89" s="24">
        <v>555</v>
      </c>
      <c r="H89" s="6">
        <f t="shared" ca="1" si="3"/>
        <v>3.4508078428067392</v>
      </c>
      <c r="I89" s="6">
        <f t="shared" ca="1" si="4"/>
        <v>61787.561425143649</v>
      </c>
      <c r="L89" s="1"/>
      <c r="M89" s="1"/>
      <c r="N89" s="7"/>
      <c r="O89" s="7"/>
    </row>
    <row r="90" spans="1:15">
      <c r="B90" s="2" t="s">
        <v>15</v>
      </c>
      <c r="C90" s="35">
        <f t="shared" ca="1" si="1"/>
        <v>790.13956592619184</v>
      </c>
      <c r="D90" s="22">
        <f ca="1">Decembrie_DI!L2</f>
        <v>4.559227844368035</v>
      </c>
      <c r="E90" s="23">
        <f t="shared" ca="1" si="2"/>
        <v>2917.6990542133776</v>
      </c>
      <c r="F90" s="23">
        <f t="shared" ca="1" si="0"/>
        <v>243.14158785111479</v>
      </c>
      <c r="G90" s="24">
        <v>550</v>
      </c>
      <c r="H90" s="6">
        <f t="shared" ca="1" si="3"/>
        <v>3.0020219249229569</v>
      </c>
      <c r="I90" s="6">
        <f t="shared" ca="1" si="4"/>
        <v>62577.70099106984</v>
      </c>
      <c r="L90" s="1"/>
      <c r="M90" s="1"/>
      <c r="N90" s="7"/>
      <c r="O90" s="7"/>
    </row>
    <row r="91" spans="1:15">
      <c r="A91" s="26">
        <v>2030</v>
      </c>
      <c r="B91" s="27" t="s">
        <v>16</v>
      </c>
      <c r="C91" s="28">
        <f t="shared" ca="1" si="1"/>
        <v>768.14158785111476</v>
      </c>
      <c r="D91" s="29">
        <f ca="1">Ianuarie_DI!L2</f>
        <v>4.1184932616559795</v>
      </c>
      <c r="E91" s="30">
        <f t="shared" ca="1" si="2"/>
        <v>2949.3349137490031</v>
      </c>
      <c r="F91" s="30">
        <f t="shared" ca="1" si="0"/>
        <v>245.7779094790836</v>
      </c>
      <c r="G91" s="31">
        <v>525</v>
      </c>
      <c r="H91" s="6">
        <f t="shared" ca="1" si="3"/>
        <v>2.6363216279688118</v>
      </c>
      <c r="I91" s="6">
        <f t="shared" ca="1" si="4"/>
        <v>63345.842578920958</v>
      </c>
      <c r="J91" s="1"/>
      <c r="L91" s="1"/>
      <c r="M91" s="1"/>
      <c r="N91" s="7"/>
      <c r="O91" s="7"/>
    </row>
    <row r="92" spans="1:15">
      <c r="A92" s="32"/>
      <c r="B92" s="33" t="s">
        <v>17</v>
      </c>
      <c r="C92" s="28">
        <f t="shared" ca="1" si="1"/>
        <v>745.77790947908363</v>
      </c>
      <c r="D92" s="29">
        <f ca="1">Februarie_DI!L2</f>
        <v>5.8525272600051794</v>
      </c>
      <c r="E92" s="30">
        <f t="shared" ca="1" si="2"/>
        <v>2992.9817692003635</v>
      </c>
      <c r="F92" s="30">
        <f t="shared" ca="1" si="0"/>
        <v>249.41514743336361</v>
      </c>
      <c r="G92" s="31">
        <v>500</v>
      </c>
      <c r="H92" s="6">
        <f t="shared" ca="1" si="3"/>
        <v>3.6372379542800104</v>
      </c>
      <c r="I92" s="6">
        <f t="shared" ca="1" si="4"/>
        <v>64091.62048840004</v>
      </c>
      <c r="K92" s="34"/>
      <c r="L92" s="1"/>
      <c r="M92" s="1"/>
      <c r="N92" s="7"/>
      <c r="O92" s="7"/>
    </row>
    <row r="93" spans="1:15">
      <c r="A93" s="32"/>
      <c r="B93" s="27" t="s">
        <v>18</v>
      </c>
      <c r="C93" s="28">
        <f t="shared" ca="1" si="1"/>
        <v>789.41514743336359</v>
      </c>
      <c r="D93" s="29">
        <f ca="1">Martie_DI!L2</f>
        <v>4.4468865696382798</v>
      </c>
      <c r="E93" s="30">
        <f t="shared" ca="1" si="2"/>
        <v>3028.0861653702677</v>
      </c>
      <c r="F93" s="30">
        <f t="shared" ca="1" si="0"/>
        <v>252.34051378085564</v>
      </c>
      <c r="G93" s="31">
        <v>540</v>
      </c>
      <c r="H93" s="6">
        <f t="shared" ca="1" si="3"/>
        <v>2.9253663474920302</v>
      </c>
      <c r="I93" s="6">
        <f t="shared" ca="1" si="4"/>
        <v>64881.035635833403</v>
      </c>
      <c r="L93" s="1"/>
      <c r="M93" s="1"/>
      <c r="N93" s="7"/>
      <c r="O93" s="7"/>
    </row>
    <row r="94" spans="1:15">
      <c r="A94" s="32"/>
      <c r="B94" s="27" t="s">
        <v>19</v>
      </c>
      <c r="C94" s="28">
        <f t="shared" ca="1" si="1"/>
        <v>827.34051378085564</v>
      </c>
      <c r="D94" s="29">
        <f ca="1">Aprilie_DI!L2</f>
        <v>4.268448723687106</v>
      </c>
      <c r="E94" s="30">
        <f t="shared" ca="1" si="2"/>
        <v>3063.4007709712932</v>
      </c>
      <c r="F94" s="30">
        <f t="shared" ca="1" si="0"/>
        <v>255.28339758094111</v>
      </c>
      <c r="G94" s="31">
        <v>575</v>
      </c>
      <c r="H94" s="6">
        <f t="shared" ca="1" si="3"/>
        <v>2.9428838000854682</v>
      </c>
      <c r="I94" s="6">
        <f t="shared" ca="1" si="4"/>
        <v>65708.376149614254</v>
      </c>
      <c r="L94" s="1"/>
      <c r="M94" s="1"/>
      <c r="N94" s="7"/>
      <c r="O94" s="7"/>
    </row>
    <row r="95" spans="1:15">
      <c r="A95" s="32"/>
      <c r="B95" s="27" t="s">
        <v>20</v>
      </c>
      <c r="C95" s="28">
        <f t="shared" ca="1" si="1"/>
        <v>845.28339758094114</v>
      </c>
      <c r="D95" s="29">
        <f ca="1">May_DI!L2</f>
        <v>4.2955563376049772</v>
      </c>
      <c r="E95" s="30">
        <f t="shared" ca="1" si="2"/>
        <v>3099.7103955268039</v>
      </c>
      <c r="F95" s="30">
        <f t="shared" ca="1" si="0"/>
        <v>258.30919962723368</v>
      </c>
      <c r="G95" s="31">
        <v>590</v>
      </c>
      <c r="H95" s="6">
        <f t="shared" ca="1" si="3"/>
        <v>3.0258020462925685</v>
      </c>
      <c r="I95" s="6">
        <f t="shared" ca="1" si="4"/>
        <v>66553.659547195202</v>
      </c>
      <c r="L95" s="1"/>
      <c r="M95" s="1"/>
      <c r="N95" s="7"/>
      <c r="O95" s="7"/>
    </row>
    <row r="96" spans="1:15">
      <c r="A96" s="32"/>
      <c r="B96" s="27" t="s">
        <v>21</v>
      </c>
      <c r="C96" s="28">
        <f t="shared" ca="1" si="1"/>
        <v>758.30919962723374</v>
      </c>
      <c r="D96" s="29">
        <f ca="1">Iunie_DI!L2</f>
        <v>4.7808094913965338</v>
      </c>
      <c r="E96" s="30">
        <f t="shared" ca="1" si="2"/>
        <v>3135.963713716716</v>
      </c>
      <c r="F96" s="30">
        <f t="shared" ca="1" si="0"/>
        <v>261.33030947639298</v>
      </c>
      <c r="G96" s="31">
        <v>500</v>
      </c>
      <c r="H96" s="6">
        <f t="shared" ca="1" si="3"/>
        <v>3.021109849159302</v>
      </c>
      <c r="I96" s="6">
        <f t="shared" ca="1" si="4"/>
        <v>67311.968746822429</v>
      </c>
      <c r="L96" s="1"/>
      <c r="M96" s="1"/>
      <c r="N96" s="7"/>
      <c r="O96" s="7"/>
    </row>
    <row r="97" spans="1:15">
      <c r="A97" s="32"/>
      <c r="B97" s="27" t="s">
        <v>22</v>
      </c>
      <c r="C97" s="28">
        <f t="shared" ca="1" si="1"/>
        <v>811.33030947639304</v>
      </c>
      <c r="D97" s="29">
        <f ca="1">Iulie_DI!L2</f>
        <v>4.7281946685047753</v>
      </c>
      <c r="E97" s="30">
        <f t="shared" ca="1" si="2"/>
        <v>3174.3249901533422</v>
      </c>
      <c r="F97" s="30">
        <f t="shared" ca="1" si="0"/>
        <v>264.52708251277852</v>
      </c>
      <c r="G97" s="31">
        <v>550</v>
      </c>
      <c r="H97" s="6">
        <f t="shared" ca="1" si="3"/>
        <v>3.1967730363855367</v>
      </c>
      <c r="I97" s="6">
        <f t="shared" ca="1" si="4"/>
        <v>68123.299056298827</v>
      </c>
      <c r="L97" s="1"/>
      <c r="M97" s="1"/>
      <c r="N97" s="7"/>
      <c r="O97" s="7"/>
    </row>
    <row r="98" spans="1:15">
      <c r="A98" s="32"/>
      <c r="B98" s="27" t="s">
        <v>11</v>
      </c>
      <c r="C98" s="28">
        <f t="shared" ca="1" si="1"/>
        <v>809.52708251277852</v>
      </c>
      <c r="D98" s="29">
        <f ca="1">August_DI!L2</f>
        <v>4.7719715780110761</v>
      </c>
      <c r="E98" s="30">
        <f t="shared" ca="1" si="2"/>
        <v>3212.9553924471543</v>
      </c>
      <c r="F98" s="30">
        <f t="shared" ca="1" si="0"/>
        <v>267.74628270392952</v>
      </c>
      <c r="G98" s="31">
        <v>545</v>
      </c>
      <c r="H98" s="6">
        <f t="shared" ca="1" si="3"/>
        <v>3.2192001911510033</v>
      </c>
      <c r="I98" s="6">
        <f t="shared" ca="1" si="4"/>
        <v>68932.826138811608</v>
      </c>
      <c r="L98" s="1"/>
      <c r="M98" s="1"/>
      <c r="N98" s="7"/>
      <c r="O98" s="7"/>
    </row>
    <row r="99" spans="1:15">
      <c r="A99" s="32"/>
      <c r="B99" s="27" t="s">
        <v>12</v>
      </c>
      <c r="C99" s="28">
        <f t="shared" ca="1" si="1"/>
        <v>817.74628270392952</v>
      </c>
      <c r="D99" s="29">
        <f ca="1">Septembrie_DI!L2</f>
        <v>4.3673824317315333</v>
      </c>
      <c r="E99" s="30">
        <f t="shared" ca="1" si="2"/>
        <v>3248.6694999341034</v>
      </c>
      <c r="F99" s="30">
        <f t="shared" ca="1" si="0"/>
        <v>270.72245832784193</v>
      </c>
      <c r="G99" s="31">
        <v>550</v>
      </c>
      <c r="H99" s="6">
        <f t="shared" ca="1" si="3"/>
        <v>2.9761756239124111</v>
      </c>
      <c r="I99" s="6">
        <f t="shared" ca="1" si="4"/>
        <v>69750.572421515535</v>
      </c>
      <c r="L99" s="1"/>
      <c r="M99" s="1"/>
      <c r="N99" s="7"/>
      <c r="O99" s="7"/>
    </row>
    <row r="100" spans="1:15">
      <c r="A100" s="32"/>
      <c r="B100" s="27" t="s">
        <v>13</v>
      </c>
      <c r="C100" s="28">
        <f t="shared" ca="1" si="1"/>
        <v>875.72245832784188</v>
      </c>
      <c r="D100" s="29">
        <f ca="1">Octombrie_DI!L2</f>
        <v>4.8692063709065785</v>
      </c>
      <c r="E100" s="30">
        <f t="shared" ca="1" si="2"/>
        <v>3291.3102336664624</v>
      </c>
      <c r="F100" s="30">
        <f t="shared" ca="1" si="0"/>
        <v>274.27585280553853</v>
      </c>
      <c r="G100" s="31">
        <v>605</v>
      </c>
      <c r="H100" s="6">
        <f t="shared" ca="1" si="3"/>
        <v>3.5533944776965996</v>
      </c>
      <c r="I100" s="6">
        <f t="shared" ca="1" si="4"/>
        <v>70626.294879843379</v>
      </c>
      <c r="L100" s="1"/>
      <c r="M100" s="1"/>
      <c r="N100" s="7"/>
      <c r="O100" s="7"/>
    </row>
    <row r="101" spans="1:15">
      <c r="A101" s="32"/>
      <c r="B101" s="27" t="s">
        <v>14</v>
      </c>
      <c r="C101" s="28">
        <f t="shared" ca="1" si="1"/>
        <v>829.27585280553853</v>
      </c>
      <c r="D101" s="29">
        <f ca="1">Noiembrie_DI!L2</f>
        <v>5.2305522455478881</v>
      </c>
      <c r="E101" s="30">
        <f t="shared" ca="1" si="2"/>
        <v>3334.6859404071688</v>
      </c>
      <c r="F101" s="30">
        <f t="shared" ca="1" si="0"/>
        <v>277.89049503393073</v>
      </c>
      <c r="G101" s="31">
        <v>555</v>
      </c>
      <c r="H101" s="6">
        <f t="shared" ca="1" si="3"/>
        <v>3.6146422283921993</v>
      </c>
      <c r="I101" s="6">
        <f t="shared" ca="1" si="4"/>
        <v>71455.570732648921</v>
      </c>
      <c r="L101" s="1"/>
      <c r="M101" s="1"/>
      <c r="N101" s="7"/>
      <c r="O101" s="7"/>
    </row>
    <row r="102" spans="1:15">
      <c r="A102" s="32"/>
      <c r="B102" s="27" t="s">
        <v>15</v>
      </c>
      <c r="C102" s="28">
        <f t="shared" ca="1" si="1"/>
        <v>827.89049503393073</v>
      </c>
      <c r="D102" s="29">
        <f ca="1">Decembrie_DI!L2</f>
        <v>4.559227844368035</v>
      </c>
      <c r="E102" s="30">
        <f t="shared" ca="1" si="2"/>
        <v>3372.431354377632</v>
      </c>
      <c r="F102" s="30">
        <f t="shared" ca="1" si="0"/>
        <v>281.035946198136</v>
      </c>
      <c r="G102" s="31">
        <v>550</v>
      </c>
      <c r="H102" s="6">
        <f t="shared" ca="1" si="3"/>
        <v>3.1454511642052694</v>
      </c>
      <c r="I102" s="6">
        <f t="shared" ca="1" si="4"/>
        <v>72283.461227682856</v>
      </c>
      <c r="L102" s="1"/>
      <c r="M102" s="1"/>
      <c r="N102" s="7"/>
      <c r="O102" s="7"/>
    </row>
    <row r="103" spans="1:15">
      <c r="A103" s="1">
        <v>2031</v>
      </c>
      <c r="B103" s="2" t="s">
        <v>16</v>
      </c>
      <c r="C103" s="35">
        <f t="shared" ca="1" si="1"/>
        <v>806.035946198136</v>
      </c>
      <c r="D103" s="22">
        <f ca="1">Ianuarie_DI!L2</f>
        <v>4.1184932616559795</v>
      </c>
      <c r="E103" s="23">
        <f t="shared" ca="1" si="2"/>
        <v>3405.6278905083273</v>
      </c>
      <c r="F103" s="23">
        <f t="shared" ca="1" si="0"/>
        <v>283.80232420902729</v>
      </c>
      <c r="G103" s="24">
        <v>525</v>
      </c>
      <c r="H103" s="6">
        <f t="shared" ca="1" si="3"/>
        <v>2.7663780108912874</v>
      </c>
      <c r="I103" s="6">
        <f t="shared" ca="1" si="4"/>
        <v>73089.497173880998</v>
      </c>
      <c r="J103" s="1"/>
      <c r="L103" s="1"/>
      <c r="M103" s="1"/>
      <c r="N103" s="7"/>
      <c r="O103" s="7"/>
    </row>
    <row r="104" spans="1:15">
      <c r="B104" s="34" t="s">
        <v>17</v>
      </c>
      <c r="C104" s="35">
        <f t="shared" ca="1" si="1"/>
        <v>783.80232420902735</v>
      </c>
      <c r="D104" s="22">
        <f ca="1">Februarie_DI!L2</f>
        <v>5.8525272600051794</v>
      </c>
      <c r="E104" s="23">
        <f t="shared" ca="1" si="2"/>
        <v>3451.5001351972146</v>
      </c>
      <c r="F104" s="23">
        <f t="shared" ca="1" si="0"/>
        <v>287.62501126643457</v>
      </c>
      <c r="G104" s="24">
        <v>500</v>
      </c>
      <c r="H104" s="6">
        <f t="shared" ca="1" si="3"/>
        <v>3.8226870574072791</v>
      </c>
      <c r="I104" s="6">
        <f t="shared" ca="1" si="4"/>
        <v>73873.299498090026</v>
      </c>
      <c r="K104" s="34"/>
      <c r="L104" s="1"/>
      <c r="M104" s="1"/>
      <c r="N104" s="7"/>
      <c r="O104" s="7"/>
    </row>
    <row r="105" spans="1:15">
      <c r="B105" s="2" t="s">
        <v>18</v>
      </c>
      <c r="C105" s="35">
        <f t="shared" ca="1" si="1"/>
        <v>827.62501126643451</v>
      </c>
      <c r="D105" s="22">
        <f ca="1">Martie_DI!L2</f>
        <v>4.4468865696382798</v>
      </c>
      <c r="E105" s="23">
        <f t="shared" ca="1" si="2"/>
        <v>3488.3036806701889</v>
      </c>
      <c r="F105" s="23">
        <f t="shared" ca="1" si="0"/>
        <v>290.69197338918241</v>
      </c>
      <c r="G105" s="24">
        <v>540</v>
      </c>
      <c r="H105" s="6">
        <f t="shared" ca="1" si="3"/>
        <v>3.0669621227478387</v>
      </c>
      <c r="I105" s="6">
        <f t="shared" ca="1" si="4"/>
        <v>74700.924509356453</v>
      </c>
      <c r="L105" s="1"/>
      <c r="M105" s="1"/>
      <c r="N105" s="7"/>
      <c r="O105" s="7"/>
    </row>
    <row r="106" spans="1:15">
      <c r="B106" s="2" t="s">
        <v>19</v>
      </c>
      <c r="C106" s="35">
        <f t="shared" ca="1" si="1"/>
        <v>865.69197338918241</v>
      </c>
      <c r="D106" s="22">
        <f ca="1">Aprilie_DI!L2</f>
        <v>4.268448723687106</v>
      </c>
      <c r="E106" s="23">
        <f t="shared" ca="1" si="2"/>
        <v>3525.255298659381</v>
      </c>
      <c r="F106" s="23">
        <f t="shared" ca="1" si="0"/>
        <v>293.77127488828177</v>
      </c>
      <c r="G106" s="24">
        <v>575</v>
      </c>
      <c r="H106" s="6">
        <f t="shared" ca="1" si="3"/>
        <v>3.0793014990993584</v>
      </c>
      <c r="I106" s="6">
        <f t="shared" ca="1" si="4"/>
        <v>75566.616482745638</v>
      </c>
      <c r="L106" s="1"/>
      <c r="M106" s="1"/>
      <c r="N106" s="7"/>
      <c r="O106" s="7"/>
    </row>
    <row r="107" spans="1:15">
      <c r="B107" s="2" t="s">
        <v>20</v>
      </c>
      <c r="C107" s="35">
        <f t="shared" ca="1" si="1"/>
        <v>913.77127488828182</v>
      </c>
      <c r="D107" s="22">
        <f ca="1">May_DI!L2</f>
        <v>4.2955563376049772</v>
      </c>
      <c r="E107" s="23">
        <f t="shared" ca="1" si="2"/>
        <v>3564.5068585690583</v>
      </c>
      <c r="F107" s="23">
        <f t="shared" ca="1" si="0"/>
        <v>297.04223821408817</v>
      </c>
      <c r="G107" s="24">
        <v>620</v>
      </c>
      <c r="H107" s="6">
        <f t="shared" ca="1" si="3"/>
        <v>3.2709633258064059</v>
      </c>
      <c r="I107" s="6">
        <f t="shared" ca="1" si="4"/>
        <v>76480.387757633915</v>
      </c>
      <c r="L107" s="1"/>
      <c r="M107" s="1"/>
      <c r="N107" s="7"/>
      <c r="O107" s="7"/>
    </row>
    <row r="108" spans="1:15">
      <c r="B108" s="2" t="s">
        <v>21</v>
      </c>
      <c r="C108" s="35">
        <f t="shared" ca="1" si="1"/>
        <v>797.04223821408823</v>
      </c>
      <c r="D108" s="22">
        <f ca="1">Iunie_DI!L2</f>
        <v>4.7808094913965338</v>
      </c>
      <c r="E108" s="23">
        <f t="shared" ca="1" si="2"/>
        <v>3602.6119295440367</v>
      </c>
      <c r="F108" s="23">
        <f t="shared" ca="1" si="0"/>
        <v>300.21766079533637</v>
      </c>
      <c r="G108" s="24">
        <v>500</v>
      </c>
      <c r="H108" s="6">
        <f t="shared" ca="1" si="3"/>
        <v>3.1754225812481991</v>
      </c>
      <c r="I108" s="6">
        <f t="shared" ca="1" si="4"/>
        <v>77277.429995847997</v>
      </c>
      <c r="L108" s="1"/>
      <c r="M108" s="1"/>
      <c r="N108" s="7"/>
      <c r="O108" s="7"/>
    </row>
    <row r="109" spans="1:15">
      <c r="B109" s="2" t="s">
        <v>22</v>
      </c>
      <c r="C109" s="35">
        <f t="shared" ca="1" si="1"/>
        <v>800.21766079533631</v>
      </c>
      <c r="D109" s="22">
        <f ca="1">Iulie_DI!L2</f>
        <v>4.7281946685047753</v>
      </c>
      <c r="E109" s="23">
        <f t="shared" ca="1" si="2"/>
        <v>3640.4477783181956</v>
      </c>
      <c r="F109" s="23">
        <f t="shared" ca="1" si="0"/>
        <v>303.37064819318294</v>
      </c>
      <c r="G109" s="24">
        <v>500</v>
      </c>
      <c r="H109" s="6">
        <f t="shared" ca="1" si="3"/>
        <v>3.152987397846573</v>
      </c>
      <c r="I109" s="6">
        <f t="shared" ca="1" si="4"/>
        <v>78077.647656643327</v>
      </c>
      <c r="L109" s="1"/>
      <c r="M109" s="1"/>
      <c r="N109" s="7"/>
      <c r="O109" s="7"/>
    </row>
    <row r="110" spans="1:15">
      <c r="B110" s="2" t="s">
        <v>11</v>
      </c>
      <c r="C110" s="35">
        <f t="shared" ca="1" si="1"/>
        <v>848.37064819318289</v>
      </c>
      <c r="D110" s="22">
        <f ca="1">August_DI!L2</f>
        <v>4.7719715780110761</v>
      </c>
      <c r="E110" s="23">
        <f t="shared" ca="1" si="2"/>
        <v>3680.9317845261626</v>
      </c>
      <c r="F110" s="23">
        <f t="shared" ca="1" si="0"/>
        <v>306.74431537718021</v>
      </c>
      <c r="G110" s="24">
        <v>545</v>
      </c>
      <c r="H110" s="6">
        <f t="shared" ca="1" si="3"/>
        <v>3.3736671839972701</v>
      </c>
      <c r="I110" s="6">
        <f t="shared" ca="1" si="4"/>
        <v>78926.018304836514</v>
      </c>
      <c r="L110" s="1"/>
      <c r="M110" s="1"/>
      <c r="N110" s="7"/>
      <c r="O110" s="7"/>
    </row>
    <row r="111" spans="1:15">
      <c r="B111" s="2" t="s">
        <v>12</v>
      </c>
      <c r="C111" s="35">
        <f t="shared" ca="1" si="1"/>
        <v>856.74431537718021</v>
      </c>
      <c r="D111" s="22">
        <f ca="1">Septembrie_DI!L2</f>
        <v>4.3673824317315333</v>
      </c>
      <c r="E111" s="23">
        <f t="shared" ca="1" si="2"/>
        <v>3718.349085240804</v>
      </c>
      <c r="F111" s="23">
        <f t="shared" ca="1" si="0"/>
        <v>309.86242377006698</v>
      </c>
      <c r="G111" s="24">
        <v>550</v>
      </c>
      <c r="H111" s="6">
        <f t="shared" ca="1" si="3"/>
        <v>3.1181083928867679</v>
      </c>
      <c r="I111" s="6">
        <f t="shared" ca="1" si="4"/>
        <v>79782.762620213689</v>
      </c>
      <c r="L111" s="1"/>
      <c r="M111" s="1"/>
      <c r="N111" s="7"/>
      <c r="O111" s="7"/>
    </row>
    <row r="112" spans="1:15">
      <c r="B112" s="2" t="s">
        <v>13</v>
      </c>
      <c r="C112" s="35">
        <f t="shared" ca="1" si="1"/>
        <v>914.86242377006693</v>
      </c>
      <c r="D112" s="22">
        <f ca="1">Octombrie_DI!L2</f>
        <v>4.8692063709065785</v>
      </c>
      <c r="E112" s="23">
        <f t="shared" ca="1" si="2"/>
        <v>3762.8956246640464</v>
      </c>
      <c r="F112" s="23">
        <f t="shared" ca="1" si="0"/>
        <v>313.57463538867052</v>
      </c>
      <c r="G112" s="24">
        <v>605</v>
      </c>
      <c r="H112" s="6">
        <f t="shared" ca="1" si="3"/>
        <v>3.7122116186035328</v>
      </c>
      <c r="I112" s="6">
        <f t="shared" ca="1" si="4"/>
        <v>80697.62504398376</v>
      </c>
      <c r="L112" s="1"/>
      <c r="M112" s="1"/>
      <c r="N112" s="7"/>
      <c r="O112" s="7"/>
    </row>
    <row r="113" spans="1:15">
      <c r="B113" s="2" t="s">
        <v>14</v>
      </c>
      <c r="C113" s="35">
        <f t="shared" ca="1" si="1"/>
        <v>868.57463538867046</v>
      </c>
      <c r="D113" s="22">
        <f ca="1">Noiembrie_DI!L2</f>
        <v>5.2305522455478881</v>
      </c>
      <c r="E113" s="23">
        <f t="shared" ca="1" si="2"/>
        <v>3808.326874759628</v>
      </c>
      <c r="F113" s="23">
        <f t="shared" ca="1" si="0"/>
        <v>317.36057289663569</v>
      </c>
      <c r="G113" s="24">
        <v>555</v>
      </c>
      <c r="H113" s="6">
        <f t="shared" ca="1" si="3"/>
        <v>3.7859375079651727</v>
      </c>
      <c r="I113" s="6">
        <f t="shared" ca="1" si="4"/>
        <v>81566.199679372425</v>
      </c>
      <c r="L113" s="1"/>
      <c r="M113" s="1"/>
      <c r="N113" s="7"/>
      <c r="O113" s="7"/>
    </row>
    <row r="114" spans="1:15">
      <c r="B114" s="2" t="s">
        <v>15</v>
      </c>
      <c r="C114" s="35">
        <f t="shared" ca="1" si="1"/>
        <v>867.36057289663563</v>
      </c>
      <c r="D114" s="22">
        <f ca="1">Decembrie_DI!L2</f>
        <v>4.559227844368035</v>
      </c>
      <c r="E114" s="23">
        <f t="shared" ca="1" si="2"/>
        <v>3847.8718195102015</v>
      </c>
      <c r="F114" s="23">
        <f t="shared" ca="1" si="0"/>
        <v>320.65598495918346</v>
      </c>
      <c r="G114" s="24">
        <v>550</v>
      </c>
      <c r="H114" s="6">
        <f t="shared" ca="1" si="3"/>
        <v>3.2954120625477685</v>
      </c>
      <c r="I114" s="6">
        <f t="shared" ca="1" si="4"/>
        <v>82433.560252269061</v>
      </c>
      <c r="L114" s="1"/>
      <c r="M114" s="1"/>
      <c r="N114" s="7"/>
      <c r="O114" s="7"/>
    </row>
    <row r="115" spans="1:15">
      <c r="A115" s="26">
        <v>2032</v>
      </c>
      <c r="B115" s="27" t="s">
        <v>16</v>
      </c>
      <c r="C115" s="28">
        <f t="shared" ca="1" si="1"/>
        <v>845.65598495918346</v>
      </c>
      <c r="D115" s="29">
        <f ca="1">Ianuarie_DI!L2</f>
        <v>4.1184932616559795</v>
      </c>
      <c r="E115" s="30">
        <f t="shared" ca="1" si="2"/>
        <v>3882.7001042675361</v>
      </c>
      <c r="F115" s="30">
        <f t="shared" ca="1" si="0"/>
        <v>323.55834202229465</v>
      </c>
      <c r="G115" s="31">
        <v>525</v>
      </c>
      <c r="H115" s="6">
        <f t="shared" ca="1" si="3"/>
        <v>2.9023570631111966</v>
      </c>
      <c r="I115" s="6">
        <f t="shared" ca="1" si="4"/>
        <v>83279.216237228247</v>
      </c>
      <c r="J115" s="1"/>
      <c r="L115" s="1"/>
      <c r="M115" s="1"/>
      <c r="N115" s="7"/>
      <c r="O115" s="7"/>
    </row>
    <row r="116" spans="1:15">
      <c r="A116" s="32"/>
      <c r="B116" s="33" t="s">
        <v>17</v>
      </c>
      <c r="C116" s="28">
        <f t="shared" ca="1" si="1"/>
        <v>823.55834202229471</v>
      </c>
      <c r="D116" s="29">
        <f ca="1">Februarie_DI!L2</f>
        <v>5.8525272600051794</v>
      </c>
      <c r="E116" s="30">
        <f t="shared" ca="1" si="2"/>
        <v>3930.8990807364376</v>
      </c>
      <c r="F116" s="30">
        <f t="shared" ca="1" si="0"/>
        <v>327.57492339470315</v>
      </c>
      <c r="G116" s="31">
        <v>500</v>
      </c>
      <c r="H116" s="6">
        <f t="shared" ca="1" si="3"/>
        <v>4.0165813724084956</v>
      </c>
      <c r="I116" s="6">
        <f t="shared" ca="1" si="4"/>
        <v>84102.774579250545</v>
      </c>
      <c r="K116" s="34"/>
      <c r="L116" s="1"/>
      <c r="M116" s="1"/>
      <c r="N116" s="7"/>
      <c r="O116" s="7"/>
    </row>
    <row r="117" spans="1:15">
      <c r="A117" s="32"/>
      <c r="B117" s="27" t="s">
        <v>18</v>
      </c>
      <c r="C117" s="28">
        <f t="shared" ca="1" si="1"/>
        <v>867.57492339470309</v>
      </c>
      <c r="D117" s="29">
        <f ca="1">Martie_DI!L2</f>
        <v>4.4468865696382798</v>
      </c>
      <c r="E117" s="30">
        <f t="shared" ca="1" si="2"/>
        <v>3969.4791534864262</v>
      </c>
      <c r="F117" s="30">
        <f t="shared" ca="1" si="0"/>
        <v>330.78992945720216</v>
      </c>
      <c r="G117" s="31">
        <v>540</v>
      </c>
      <c r="H117" s="6">
        <f t="shared" ca="1" si="3"/>
        <v>3.2150060624990147</v>
      </c>
      <c r="I117" s="6">
        <f t="shared" ca="1" si="4"/>
        <v>84970.349502645244</v>
      </c>
      <c r="L117" s="1"/>
      <c r="M117" s="1"/>
      <c r="N117" s="7"/>
      <c r="O117" s="7"/>
    </row>
    <row r="118" spans="1:15">
      <c r="A118" s="32"/>
      <c r="B118" s="27" t="s">
        <v>19</v>
      </c>
      <c r="C118" s="28">
        <f t="shared" ca="1" si="1"/>
        <v>905.78992945720211</v>
      </c>
      <c r="D118" s="29">
        <f ca="1">Aprilie_DI!L2</f>
        <v>4.268448723687106</v>
      </c>
      <c r="E118" s="30">
        <f t="shared" ca="1" si="2"/>
        <v>4008.1423321696284</v>
      </c>
      <c r="F118" s="30">
        <f t="shared" ca="1" si="0"/>
        <v>334.01186101413572</v>
      </c>
      <c r="G118" s="31">
        <v>575</v>
      </c>
      <c r="H118" s="6">
        <f t="shared" ca="1" si="3"/>
        <v>3.2219315569335549</v>
      </c>
      <c r="I118" s="6">
        <f t="shared" ca="1" si="4"/>
        <v>85876.139432102442</v>
      </c>
      <c r="L118" s="1"/>
      <c r="M118" s="1"/>
      <c r="N118" s="7"/>
      <c r="O118" s="7"/>
    </row>
    <row r="119" spans="1:15">
      <c r="A119" s="32"/>
      <c r="B119" s="27" t="s">
        <v>20</v>
      </c>
      <c r="C119" s="28">
        <f t="shared" ca="1" si="1"/>
        <v>924.01186101413577</v>
      </c>
      <c r="D119" s="29">
        <f ca="1">May_DI!L2</f>
        <v>4.2955563376049772</v>
      </c>
      <c r="E119" s="30">
        <f t="shared" ca="1" si="2"/>
        <v>4047.8337822256426</v>
      </c>
      <c r="F119" s="30">
        <f t="shared" ca="1" si="0"/>
        <v>337.3194818521369</v>
      </c>
      <c r="G119" s="31">
        <v>590</v>
      </c>
      <c r="H119" s="6">
        <f t="shared" ca="1" si="3"/>
        <v>3.3076208380011849</v>
      </c>
      <c r="I119" s="6">
        <f t="shared" ca="1" si="4"/>
        <v>86800.151293116578</v>
      </c>
      <c r="L119" s="1"/>
      <c r="M119" s="1"/>
      <c r="N119" s="7"/>
      <c r="O119" s="7"/>
    </row>
    <row r="120" spans="1:15">
      <c r="A120" s="32"/>
      <c r="B120" s="27" t="s">
        <v>21</v>
      </c>
      <c r="C120" s="28">
        <f t="shared" ca="1" si="1"/>
        <v>837.31948185213696</v>
      </c>
      <c r="D120" s="29">
        <f ca="1">Iunie_DI!L2</f>
        <v>4.7808094913965338</v>
      </c>
      <c r="E120" s="30">
        <f t="shared" ca="1" si="2"/>
        <v>4087.8644314873418</v>
      </c>
      <c r="F120" s="30">
        <f t="shared" ca="1" si="0"/>
        <v>340.65536929061182</v>
      </c>
      <c r="G120" s="31">
        <v>500</v>
      </c>
      <c r="H120" s="6">
        <f t="shared" ca="1" si="3"/>
        <v>3.3358874384749129</v>
      </c>
      <c r="I120" s="6">
        <f t="shared" ca="1" si="4"/>
        <v>87637.470774968708</v>
      </c>
      <c r="L120" s="1"/>
      <c r="M120" s="1"/>
      <c r="N120" s="7"/>
      <c r="O120" s="7"/>
    </row>
    <row r="121" spans="1:15">
      <c r="A121" s="32"/>
      <c r="B121" s="27" t="s">
        <v>22</v>
      </c>
      <c r="C121" s="28">
        <f t="shared" ca="1" si="1"/>
        <v>890.65536929061182</v>
      </c>
      <c r="D121" s="29">
        <f ca="1">Iulie_DI!L2</f>
        <v>4.7281946685047753</v>
      </c>
      <c r="E121" s="30">
        <f t="shared" ca="1" si="2"/>
        <v>4129.9763511728925</v>
      </c>
      <c r="F121" s="30">
        <f t="shared" ca="1" si="0"/>
        <v>344.16469593107439</v>
      </c>
      <c r="G121" s="31">
        <v>550</v>
      </c>
      <c r="H121" s="6">
        <f t="shared" ca="1" si="3"/>
        <v>3.5093266404625751</v>
      </c>
      <c r="I121" s="6">
        <f t="shared" ca="1" si="4"/>
        <v>88528.126144259324</v>
      </c>
      <c r="L121" s="1"/>
      <c r="M121" s="1"/>
      <c r="N121" s="7"/>
      <c r="O121" s="7"/>
    </row>
    <row r="122" spans="1:15">
      <c r="A122" s="32"/>
      <c r="B122" s="27" t="s">
        <v>11</v>
      </c>
      <c r="C122" s="28">
        <f t="shared" ca="1" si="1"/>
        <v>889.16469593107445</v>
      </c>
      <c r="D122" s="29">
        <f ca="1">August_DI!L2</f>
        <v>4.7719715780110761</v>
      </c>
      <c r="E122" s="30">
        <f t="shared" ca="1" si="2"/>
        <v>4172.4070377444323</v>
      </c>
      <c r="F122" s="30">
        <f t="shared" ca="1" si="0"/>
        <v>347.70058647870269</v>
      </c>
      <c r="G122" s="31">
        <v>545</v>
      </c>
      <c r="H122" s="6">
        <f t="shared" ca="1" si="3"/>
        <v>3.5358905476282985</v>
      </c>
      <c r="I122" s="6">
        <f t="shared" ca="1" si="4"/>
        <v>89417.290840190399</v>
      </c>
      <c r="L122" s="1"/>
      <c r="M122" s="1"/>
      <c r="N122" s="7"/>
      <c r="O122" s="7"/>
    </row>
    <row r="123" spans="1:15">
      <c r="A123" s="32"/>
      <c r="B123" s="27" t="s">
        <v>12</v>
      </c>
      <c r="C123" s="28">
        <f t="shared" ca="1" si="1"/>
        <v>897.70058647870269</v>
      </c>
      <c r="D123" s="29">
        <f ca="1">Septembrie_DI!L2</f>
        <v>4.3673824317315333</v>
      </c>
      <c r="E123" s="30">
        <f t="shared" ca="1" si="2"/>
        <v>4211.6130554478541</v>
      </c>
      <c r="F123" s="30">
        <f t="shared" ca="1" si="0"/>
        <v>350.96775462065449</v>
      </c>
      <c r="G123" s="31">
        <v>550</v>
      </c>
      <c r="H123" s="6">
        <f t="shared" ca="1" si="3"/>
        <v>3.2671681419517995</v>
      </c>
      <c r="I123" s="6">
        <f t="shared" ca="1" si="4"/>
        <v>90314.991426669105</v>
      </c>
      <c r="L123" s="1"/>
      <c r="M123" s="1"/>
      <c r="N123" s="7"/>
      <c r="O123" s="7"/>
    </row>
    <row r="124" spans="1:15">
      <c r="A124" s="32"/>
      <c r="B124" s="27" t="s">
        <v>13</v>
      </c>
      <c r="C124" s="28">
        <f t="shared" ca="1" si="1"/>
        <v>955.96775462065443</v>
      </c>
      <c r="D124" s="29">
        <f ca="1">Octombrie_DI!L2</f>
        <v>4.8692063709065785</v>
      </c>
      <c r="E124" s="30">
        <f t="shared" ca="1" si="2"/>
        <v>4258.1610982596558</v>
      </c>
      <c r="F124" s="30">
        <f t="shared" ca="1" si="0"/>
        <v>354.84675818830465</v>
      </c>
      <c r="G124" s="31">
        <v>605</v>
      </c>
      <c r="H124" s="6">
        <f t="shared" ca="1" si="3"/>
        <v>3.8790035676501589</v>
      </c>
      <c r="I124" s="6">
        <f t="shared" ca="1" si="4"/>
        <v>91270.959181289756</v>
      </c>
      <c r="L124" s="1"/>
      <c r="M124" s="1"/>
      <c r="N124" s="7"/>
      <c r="O124" s="7"/>
    </row>
    <row r="125" spans="1:15">
      <c r="A125" s="32"/>
      <c r="B125" s="27" t="s">
        <v>14</v>
      </c>
      <c r="C125" s="28">
        <f t="shared" ca="1" si="1"/>
        <v>909.84675818830465</v>
      </c>
      <c r="D125" s="29">
        <f ca="1">Noiembrie_DI!L2</f>
        <v>5.2305522455478881</v>
      </c>
      <c r="E125" s="30">
        <f t="shared" ca="1" si="2"/>
        <v>4305.7511083011186</v>
      </c>
      <c r="F125" s="30">
        <f t="shared" ca="1" si="0"/>
        <v>358.81259235842657</v>
      </c>
      <c r="G125" s="31">
        <v>555</v>
      </c>
      <c r="H125" s="6">
        <f t="shared" ca="1" si="3"/>
        <v>3.9658341701219229</v>
      </c>
      <c r="I125" s="6">
        <f t="shared" ca="1" si="4"/>
        <v>92180.805939478058</v>
      </c>
      <c r="L125" s="1"/>
      <c r="M125" s="1"/>
      <c r="N125" s="7"/>
      <c r="O125" s="7"/>
    </row>
    <row r="126" spans="1:15">
      <c r="A126" s="32"/>
      <c r="B126" s="27" t="s">
        <v>15</v>
      </c>
      <c r="C126" s="28">
        <f t="shared" ca="1" si="1"/>
        <v>908.81259235842663</v>
      </c>
      <c r="D126" s="29">
        <f ca="1">Decembrie_DI!L2</f>
        <v>4.559227844368035</v>
      </c>
      <c r="E126" s="30">
        <f t="shared" ca="1" si="2"/>
        <v>4347.1859450650472</v>
      </c>
      <c r="F126" s="30">
        <f t="shared" ca="1" si="0"/>
        <v>362.26549542208727</v>
      </c>
      <c r="G126" s="31">
        <v>550</v>
      </c>
      <c r="H126" s="6">
        <f t="shared" ca="1" si="3"/>
        <v>3.452903063660699</v>
      </c>
      <c r="I126" s="6">
        <f t="shared" ca="1" si="4"/>
        <v>93089.618531836488</v>
      </c>
      <c r="K126" s="2"/>
      <c r="L126" s="1"/>
      <c r="M126" s="1"/>
      <c r="N126" s="7"/>
      <c r="O126" s="7"/>
    </row>
    <row r="127" spans="1:15">
      <c r="A127" s="1">
        <v>2033</v>
      </c>
      <c r="B127" s="2" t="s">
        <v>16</v>
      </c>
      <c r="C127" s="35">
        <f t="shared" ca="1" si="1"/>
        <v>887.26549542208727</v>
      </c>
      <c r="D127" s="22">
        <f ca="1">Ianuarie_DI!L2</f>
        <v>4.1184932616559795</v>
      </c>
      <c r="E127" s="23">
        <f t="shared" ca="1" si="2"/>
        <v>4383.7279147070049</v>
      </c>
      <c r="F127" s="23">
        <f t="shared" ca="1" si="0"/>
        <v>365.31065955891705</v>
      </c>
      <c r="G127" s="24">
        <v>525</v>
      </c>
      <c r="H127" s="6">
        <f t="shared" ca="1" si="3"/>
        <v>3.0451641368297828</v>
      </c>
      <c r="I127" s="6">
        <f t="shared" ca="1" si="4"/>
        <v>93976.88402725858</v>
      </c>
      <c r="J127" s="1"/>
      <c r="L127" s="1"/>
      <c r="M127" s="1"/>
      <c r="N127" s="7"/>
      <c r="O127" s="7"/>
    </row>
    <row r="128" spans="1:15">
      <c r="B128" s="34" t="s">
        <v>17</v>
      </c>
      <c r="C128" s="35">
        <f t="shared" ca="1" si="1"/>
        <v>865.310659558917</v>
      </c>
      <c r="D128" s="22">
        <f ca="1">Februarie_DI!L2</f>
        <v>5.8525272600051794</v>
      </c>
      <c r="E128" s="23">
        <f t="shared" ca="1" si="2"/>
        <v>4434.3704569414213</v>
      </c>
      <c r="F128" s="23">
        <f t="shared" ca="1" si="0"/>
        <v>369.53087141178509</v>
      </c>
      <c r="G128" s="24">
        <v>500</v>
      </c>
      <c r="H128" s="6">
        <f t="shared" ca="1" si="3"/>
        <v>4.220211852868033</v>
      </c>
      <c r="I128" s="6">
        <f t="shared" ca="1" si="4"/>
        <v>94842.1946868175</v>
      </c>
      <c r="K128" s="34"/>
      <c r="L128" s="1"/>
      <c r="M128" s="1"/>
      <c r="N128" s="7"/>
      <c r="O128" s="7"/>
    </row>
    <row r="129" spans="1:15">
      <c r="B129" s="2" t="s">
        <v>18</v>
      </c>
      <c r="C129" s="35">
        <f t="shared" ca="1" si="1"/>
        <v>909.53087141178503</v>
      </c>
      <c r="D129" s="22">
        <f ca="1">Martie_DI!L2</f>
        <v>4.4468865696382798</v>
      </c>
      <c r="E129" s="23">
        <f t="shared" ca="1" si="2"/>
        <v>4474.8162631089463</v>
      </c>
      <c r="F129" s="23">
        <f t="shared" ca="1" si="0"/>
        <v>372.90135525907885</v>
      </c>
      <c r="G129" s="24">
        <v>540</v>
      </c>
      <c r="H129" s="6">
        <f t="shared" ca="1" si="3"/>
        <v>3.3704838472937695</v>
      </c>
      <c r="I129" s="6">
        <f t="shared" ca="1" si="4"/>
        <v>95751.725558229286</v>
      </c>
      <c r="L129" s="1"/>
      <c r="M129" s="1"/>
      <c r="N129" s="7"/>
      <c r="O129" s="7"/>
    </row>
    <row r="130" spans="1:15">
      <c r="B130" s="2" t="s">
        <v>19</v>
      </c>
      <c r="C130" s="35">
        <f t="shared" ca="1" si="1"/>
        <v>947.90135525907885</v>
      </c>
      <c r="D130" s="22">
        <f ca="1">Aprilie_DI!L2</f>
        <v>4.268448723687106</v>
      </c>
      <c r="E130" s="23">
        <f t="shared" ca="1" si="2"/>
        <v>4515.2769464093153</v>
      </c>
      <c r="F130" s="23">
        <f t="shared" ca="1" si="0"/>
        <v>376.27307886744296</v>
      </c>
      <c r="G130" s="24">
        <v>575</v>
      </c>
      <c r="H130" s="6">
        <f t="shared" ca="1" si="3"/>
        <v>3.3717236083641069</v>
      </c>
      <c r="I130" s="6">
        <f t="shared" ca="1" si="4"/>
        <v>96699.626913488362</v>
      </c>
      <c r="L130" s="1"/>
      <c r="M130" s="1"/>
      <c r="N130" s="7"/>
      <c r="O130" s="7"/>
    </row>
    <row r="131" spans="1:15">
      <c r="B131" s="2" t="s">
        <v>20</v>
      </c>
      <c r="C131" s="35">
        <f t="shared" ca="1" si="1"/>
        <v>996.27307886744302</v>
      </c>
      <c r="D131" s="22">
        <f ca="1">May_DI!L2</f>
        <v>4.2955563376049772</v>
      </c>
      <c r="E131" s="23">
        <f t="shared" ca="1" si="2"/>
        <v>4558.0724177884576</v>
      </c>
      <c r="F131" s="23">
        <f t="shared" ca="1" si="0"/>
        <v>379.83936814903814</v>
      </c>
      <c r="G131" s="24">
        <v>620</v>
      </c>
      <c r="H131" s="6">
        <f t="shared" ca="1" si="3"/>
        <v>3.566289281595175</v>
      </c>
      <c r="I131" s="6">
        <f t="shared" ca="1" si="4"/>
        <v>97695.8999923558</v>
      </c>
      <c r="L131" s="1"/>
      <c r="M131" s="1"/>
      <c r="N131" s="7"/>
      <c r="O131" s="7"/>
    </row>
    <row r="132" spans="1:15">
      <c r="B132" s="2" t="s">
        <v>21</v>
      </c>
      <c r="C132" s="35">
        <f t="shared" ca="1" si="1"/>
        <v>879.83936814903814</v>
      </c>
      <c r="D132" s="22">
        <f ca="1">Iunie_DI!L2</f>
        <v>4.7808094913965338</v>
      </c>
      <c r="E132" s="23">
        <f t="shared" ca="1" si="2"/>
        <v>4600.1358618099703</v>
      </c>
      <c r="F132" s="23">
        <f t="shared" ca="1" si="0"/>
        <v>383.34465515083087</v>
      </c>
      <c r="G132" s="24">
        <v>500</v>
      </c>
      <c r="H132" s="6">
        <f t="shared" ca="1" si="3"/>
        <v>3.5052870017927376</v>
      </c>
      <c r="I132" s="6">
        <f t="shared" ca="1" si="4"/>
        <v>98575.739360504842</v>
      </c>
      <c r="L132" s="1"/>
      <c r="M132" s="1"/>
      <c r="N132" s="7"/>
      <c r="O132" s="7"/>
    </row>
    <row r="133" spans="1:15">
      <c r="B133" s="2" t="s">
        <v>22</v>
      </c>
      <c r="C133" s="35">
        <f t="shared" ca="1" si="1"/>
        <v>883.34465515083093</v>
      </c>
      <c r="D133" s="22">
        <f ca="1">Iulie_DI!L2</f>
        <v>4.7281946685047753</v>
      </c>
      <c r="E133" s="23">
        <f t="shared" ca="1" si="2"/>
        <v>4641.9021166993334</v>
      </c>
      <c r="F133" s="23">
        <f t="shared" ca="1" si="0"/>
        <v>386.82517639161114</v>
      </c>
      <c r="G133" s="24">
        <v>500</v>
      </c>
      <c r="H133" s="6">
        <f t="shared" ca="1" si="3"/>
        <v>3.4805212407802628</v>
      </c>
      <c r="I133" s="6">
        <f t="shared" ca="1" si="4"/>
        <v>99459.084015655666</v>
      </c>
      <c r="L133" s="1"/>
      <c r="M133" s="1"/>
      <c r="N133" s="7"/>
      <c r="O133" s="7"/>
    </row>
    <row r="134" spans="1:15">
      <c r="B134" s="2" t="s">
        <v>11</v>
      </c>
      <c r="C134" s="35">
        <f t="shared" ca="1" si="1"/>
        <v>931.82517639161119</v>
      </c>
      <c r="D134" s="22">
        <f ca="1">August_DI!L2</f>
        <v>4.7719715780110761</v>
      </c>
      <c r="E134" s="23">
        <f t="shared" ca="1" si="2"/>
        <v>4686.368549273493</v>
      </c>
      <c r="F134" s="23">
        <f t="shared" ca="1" si="0"/>
        <v>390.53071243945777</v>
      </c>
      <c r="G134" s="24">
        <v>545</v>
      </c>
      <c r="H134" s="6">
        <f t="shared" ca="1" si="3"/>
        <v>3.7055360478466355</v>
      </c>
      <c r="I134" s="6">
        <f t="shared" ca="1" si="4"/>
        <v>100390.90919204727</v>
      </c>
      <c r="L134" s="1"/>
      <c r="M134" s="1"/>
      <c r="N134" s="7"/>
      <c r="O134" s="7"/>
    </row>
    <row r="135" spans="1:15">
      <c r="B135" s="2" t="s">
        <v>12</v>
      </c>
      <c r="C135" s="35">
        <f t="shared" ca="1" si="1"/>
        <v>940.53071243945783</v>
      </c>
      <c r="D135" s="22">
        <f ca="1">Septembrie_DI!L2</f>
        <v>4.3673824317315333</v>
      </c>
      <c r="E135" s="23">
        <f t="shared" ca="1" si="2"/>
        <v>4727.4451223736132</v>
      </c>
      <c r="F135" s="23">
        <f t="shared" ca="1" si="0"/>
        <v>393.9537601978011</v>
      </c>
      <c r="G135" s="24">
        <v>550</v>
      </c>
      <c r="H135" s="6">
        <f t="shared" ca="1" si="3"/>
        <v>3.4230477583433299</v>
      </c>
      <c r="I135" s="6">
        <f t="shared" ca="1" si="4"/>
        <v>101331.43990448673</v>
      </c>
      <c r="L135" s="1"/>
      <c r="M135" s="1"/>
      <c r="N135" s="7"/>
      <c r="O135" s="7"/>
    </row>
    <row r="136" spans="1:15">
      <c r="B136" s="2" t="s">
        <v>13</v>
      </c>
      <c r="C136" s="35">
        <f t="shared" ca="1" si="1"/>
        <v>998.9537601978011</v>
      </c>
      <c r="D136" s="22">
        <f ca="1">Octombrie_DI!L2</f>
        <v>4.8692063709065785</v>
      </c>
      <c r="E136" s="23">
        <f t="shared" ca="1" si="2"/>
        <v>4776.0862425075757</v>
      </c>
      <c r="F136" s="23">
        <f t="shared" ca="1" si="0"/>
        <v>398.00718687563131</v>
      </c>
      <c r="G136" s="24">
        <v>605</v>
      </c>
      <c r="H136" s="6">
        <f t="shared" ca="1" si="3"/>
        <v>4.0534266778302026</v>
      </c>
      <c r="I136" s="6">
        <f t="shared" ca="1" si="4"/>
        <v>102330.39366468454</v>
      </c>
      <c r="L136" s="1"/>
      <c r="M136" s="1"/>
      <c r="N136" s="7"/>
      <c r="O136" s="7"/>
    </row>
    <row r="137" spans="1:15">
      <c r="B137" s="2" t="s">
        <v>14</v>
      </c>
      <c r="C137" s="35">
        <f t="shared" ca="1" si="1"/>
        <v>953.00718687563131</v>
      </c>
      <c r="D137" s="22">
        <f ca="1">Noiembrie_DI!L2</f>
        <v>5.2305522455478881</v>
      </c>
      <c r="E137" s="23">
        <f t="shared" ca="1" si="2"/>
        <v>4825.9337813209313</v>
      </c>
      <c r="F137" s="23">
        <f t="shared" ca="1" si="0"/>
        <v>402.16114844341092</v>
      </c>
      <c r="G137" s="24">
        <v>555</v>
      </c>
      <c r="H137" s="6">
        <f t="shared" ca="1" si="3"/>
        <v>4.1539615677796178</v>
      </c>
      <c r="I137" s="6">
        <f t="shared" ca="1" si="4"/>
        <v>103283.40085156017</v>
      </c>
      <c r="L137" s="1"/>
      <c r="M137" s="1"/>
      <c r="N137" s="7"/>
      <c r="O137" s="7"/>
    </row>
    <row r="138" spans="1:15">
      <c r="B138" s="2" t="s">
        <v>15</v>
      </c>
      <c r="C138" s="35">
        <f t="shared" ca="1" si="1"/>
        <v>952.16114844341087</v>
      </c>
      <c r="D138" s="22">
        <f ca="1">Decembrie_DI!L2</f>
        <v>4.559227844368035</v>
      </c>
      <c r="E138" s="23">
        <f t="shared" ca="1" si="2"/>
        <v>4869.3449775240178</v>
      </c>
      <c r="F138" s="23">
        <f t="shared" ca="1" si="0"/>
        <v>405.77874812700151</v>
      </c>
      <c r="G138" s="24">
        <v>550</v>
      </c>
      <c r="H138" s="6">
        <f t="shared" ca="1" si="3"/>
        <v>3.6175996835905835</v>
      </c>
      <c r="I138" s="6">
        <f t="shared" ca="1" si="4"/>
        <v>104235.56200000359</v>
      </c>
      <c r="L138" s="1"/>
      <c r="M138" s="1"/>
      <c r="N138" s="7"/>
      <c r="O138" s="7"/>
    </row>
    <row r="139" spans="1:15">
      <c r="A139" s="41" t="s">
        <v>28</v>
      </c>
      <c r="B139" s="42"/>
      <c r="C139" s="43">
        <f ca="1">SUM(C1:C138)</f>
        <v>104235.56200000359</v>
      </c>
      <c r="D139" s="43"/>
      <c r="E139" s="44"/>
      <c r="F139" s="44"/>
      <c r="G139" s="45">
        <f>SUM(G1:G138)</f>
        <v>78917</v>
      </c>
      <c r="H139" s="6"/>
      <c r="I139" s="6"/>
      <c r="J139" s="1"/>
      <c r="L139" s="1"/>
      <c r="M139" s="1"/>
      <c r="N139" s="7"/>
      <c r="O139" s="7"/>
    </row>
    <row r="140" spans="1:15">
      <c r="B140" s="34"/>
      <c r="C140" s="1"/>
      <c r="D140" s="1"/>
      <c r="E140" s="7"/>
      <c r="F140" s="7"/>
      <c r="H140" s="34"/>
      <c r="K140" s="34"/>
      <c r="L140" s="1"/>
      <c r="M140" s="1"/>
      <c r="N140" s="7"/>
      <c r="O140" s="7"/>
    </row>
    <row r="141" spans="1:15">
      <c r="B141" s="2"/>
      <c r="C141" s="1"/>
      <c r="D141" s="1"/>
      <c r="E141" s="7"/>
      <c r="F141" s="7"/>
      <c r="L141" s="1"/>
      <c r="M141" s="1"/>
      <c r="N141" s="7"/>
      <c r="O141" s="7"/>
    </row>
    <row r="142" spans="1:15">
      <c r="B142" s="2"/>
      <c r="C142" s="1"/>
      <c r="D142" s="1"/>
      <c r="E142" s="7"/>
      <c r="F142" s="7"/>
      <c r="L142" s="1"/>
      <c r="M142" s="1"/>
      <c r="N142" s="7"/>
      <c r="O142" s="7"/>
    </row>
    <row r="143" spans="1:15">
      <c r="B143" s="2"/>
      <c r="C143" s="1"/>
      <c r="D143" s="1"/>
      <c r="E143" s="7"/>
      <c r="F143" s="7"/>
      <c r="L143" s="1"/>
      <c r="M143" s="1"/>
      <c r="N143" s="7"/>
      <c r="O143" s="7"/>
    </row>
    <row r="144" spans="1:15">
      <c r="B144" s="2"/>
      <c r="C144" s="1"/>
      <c r="D144" s="1"/>
      <c r="E144" s="7"/>
      <c r="F144" s="7"/>
      <c r="L144" s="1"/>
      <c r="M144" s="1"/>
      <c r="N144" s="7"/>
      <c r="O144" s="7"/>
    </row>
    <row r="145" spans="1:15">
      <c r="B145" s="2"/>
      <c r="C145" s="1"/>
      <c r="D145" s="1"/>
      <c r="E145" s="7"/>
      <c r="F145" s="7"/>
      <c r="L145" s="1"/>
      <c r="M145" s="1"/>
      <c r="N145" s="7"/>
      <c r="O145" s="7"/>
    </row>
    <row r="146" spans="1:15">
      <c r="B146" s="2"/>
      <c r="C146" s="1"/>
      <c r="D146" s="1"/>
      <c r="E146" s="7"/>
      <c r="F146" s="7"/>
      <c r="L146" s="1"/>
      <c r="M146" s="1"/>
      <c r="N146" s="7"/>
      <c r="O146" s="7"/>
    </row>
    <row r="147" spans="1:15">
      <c r="B147" s="2"/>
      <c r="C147" s="1"/>
      <c r="D147" s="1"/>
      <c r="E147" s="7"/>
      <c r="F147" s="7"/>
      <c r="L147" s="1"/>
      <c r="M147" s="1"/>
      <c r="N147" s="7"/>
      <c r="O147" s="7"/>
    </row>
    <row r="148" spans="1:15">
      <c r="B148" s="2"/>
      <c r="C148" s="1"/>
      <c r="D148" s="1"/>
      <c r="E148" s="7"/>
      <c r="F148" s="7"/>
      <c r="L148" s="1"/>
      <c r="M148" s="1"/>
      <c r="N148" s="7"/>
      <c r="O148" s="7"/>
    </row>
    <row r="149" spans="1:15">
      <c r="B149" s="2"/>
      <c r="C149" s="1"/>
      <c r="D149" s="1"/>
      <c r="E149" s="7"/>
      <c r="F149" s="7"/>
      <c r="L149" s="1"/>
      <c r="M149" s="1"/>
      <c r="N149" s="7"/>
      <c r="O149" s="7"/>
    </row>
    <row r="150" spans="1:15">
      <c r="B150" s="2"/>
      <c r="C150" s="1"/>
      <c r="D150" s="1"/>
      <c r="E150" s="7"/>
      <c r="F150" s="7"/>
      <c r="L150" s="1"/>
      <c r="M150" s="1"/>
      <c r="N150" s="7"/>
      <c r="O150" s="7"/>
    </row>
    <row r="151" spans="1:15">
      <c r="A151" s="1"/>
      <c r="C151" s="1"/>
      <c r="D151" s="1"/>
      <c r="E151" s="7"/>
      <c r="F151" s="7"/>
      <c r="J151" s="1"/>
      <c r="L151" s="1"/>
      <c r="M151" s="1"/>
      <c r="N151" s="7"/>
      <c r="O151" s="7"/>
    </row>
    <row r="152" spans="1:15">
      <c r="B152" s="34"/>
      <c r="C152" s="1"/>
      <c r="D152" s="1"/>
      <c r="E152" s="7"/>
      <c r="F152" s="7"/>
      <c r="H152" s="34"/>
      <c r="K152" s="34"/>
      <c r="L152" s="1"/>
      <c r="M152" s="1"/>
      <c r="N152" s="7"/>
      <c r="O152" s="7"/>
    </row>
    <row r="153" spans="1:15">
      <c r="C153" s="1"/>
      <c r="D153" s="1"/>
      <c r="E153" s="7"/>
      <c r="F153" s="7"/>
      <c r="L153" s="1"/>
      <c r="M153" s="1"/>
      <c r="N153" s="7"/>
      <c r="O153" s="7"/>
    </row>
    <row r="154" spans="1:15">
      <c r="C154" s="1"/>
      <c r="D154" s="1"/>
      <c r="E154" s="7"/>
      <c r="F154" s="7"/>
      <c r="L154" s="1"/>
      <c r="M154" s="1"/>
      <c r="N154" s="7"/>
      <c r="O154" s="7"/>
    </row>
    <row r="155" spans="1:15">
      <c r="C155" s="1"/>
      <c r="D155" s="1"/>
      <c r="E155" s="7"/>
      <c r="F155" s="7"/>
      <c r="L155" s="1"/>
      <c r="M155" s="1"/>
      <c r="N155" s="7"/>
      <c r="O155" s="7"/>
    </row>
    <row r="156" spans="1:15">
      <c r="C156" s="1"/>
      <c r="D156" s="1"/>
      <c r="E156" s="7"/>
      <c r="F156" s="7"/>
      <c r="L156" s="1"/>
      <c r="M156" s="1"/>
      <c r="N156" s="7"/>
      <c r="O156" s="7"/>
    </row>
    <row r="157" spans="1:15">
      <c r="C157" s="1"/>
      <c r="D157" s="1"/>
      <c r="E157" s="7"/>
      <c r="F157" s="7"/>
      <c r="L157" s="1"/>
      <c r="M157" s="1"/>
      <c r="N157" s="7"/>
      <c r="O157" s="7"/>
    </row>
    <row r="158" spans="1:15">
      <c r="C158" s="1"/>
      <c r="D158" s="1"/>
      <c r="E158" s="7"/>
      <c r="F158" s="7"/>
      <c r="L158" s="1"/>
      <c r="M158" s="1"/>
      <c r="N158" s="7"/>
      <c r="O158" s="7"/>
    </row>
    <row r="159" spans="1:15">
      <c r="C159" s="1"/>
      <c r="D159" s="1"/>
      <c r="E159" s="7"/>
      <c r="F159" s="7"/>
      <c r="L159" s="1"/>
      <c r="M159" s="1"/>
      <c r="N159" s="7"/>
      <c r="O159" s="7"/>
    </row>
    <row r="160" spans="1:15">
      <c r="C160" s="1"/>
      <c r="D160" s="1"/>
      <c r="E160" s="7"/>
      <c r="F160" s="7"/>
      <c r="L160" s="1"/>
      <c r="M160" s="1"/>
      <c r="N160" s="7"/>
      <c r="O160" s="7"/>
    </row>
    <row r="161" spans="1:15">
      <c r="C161" s="1"/>
      <c r="D161" s="1"/>
      <c r="E161" s="7"/>
      <c r="F161" s="7"/>
      <c r="L161" s="1"/>
      <c r="M161" s="1"/>
      <c r="N161" s="7"/>
      <c r="O161" s="7"/>
    </row>
    <row r="162" spans="1:15">
      <c r="C162" s="1"/>
      <c r="D162" s="1"/>
      <c r="E162" s="7"/>
      <c r="F162" s="7"/>
      <c r="L162" s="1"/>
      <c r="M162" s="1"/>
      <c r="N162" s="7"/>
      <c r="O162" s="7"/>
    </row>
    <row r="163" spans="1:15">
      <c r="A163" s="1"/>
      <c r="B163" s="2"/>
      <c r="C163" s="1"/>
      <c r="D163" s="1"/>
      <c r="E163" s="7"/>
      <c r="F163" s="7"/>
      <c r="J163" s="1"/>
      <c r="L163" s="1"/>
      <c r="M163" s="1"/>
      <c r="N163" s="7"/>
      <c r="O163" s="7"/>
    </row>
    <row r="164" spans="1:15">
      <c r="B164" s="34"/>
      <c r="C164" s="1"/>
      <c r="D164" s="1"/>
      <c r="E164" s="7"/>
      <c r="F164" s="7"/>
      <c r="H164" s="34"/>
      <c r="K164" s="34"/>
      <c r="L164" s="1"/>
      <c r="M164" s="1"/>
      <c r="N164" s="7"/>
      <c r="O164" s="7"/>
    </row>
    <row r="165" spans="1:15">
      <c r="B165" s="2"/>
      <c r="C165" s="1"/>
      <c r="D165" s="1"/>
      <c r="E165" s="7"/>
      <c r="F165" s="7"/>
      <c r="L165" s="1"/>
      <c r="M165" s="1"/>
      <c r="N165" s="7"/>
      <c r="O165" s="7"/>
    </row>
    <row r="166" spans="1:15">
      <c r="B166" s="2"/>
      <c r="C166" s="1"/>
      <c r="D166" s="1"/>
      <c r="E166" s="7"/>
      <c r="F166" s="7"/>
      <c r="L166" s="1"/>
      <c r="M166" s="1"/>
      <c r="N166" s="7"/>
      <c r="O166" s="7"/>
    </row>
    <row r="167" spans="1:15">
      <c r="B167" s="2"/>
      <c r="C167" s="1"/>
      <c r="D167" s="1"/>
      <c r="E167" s="7"/>
      <c r="F167" s="7"/>
      <c r="L167" s="1"/>
      <c r="M167" s="1"/>
      <c r="N167" s="7"/>
      <c r="O167" s="7"/>
    </row>
    <row r="168" spans="1:15">
      <c r="B168" s="2"/>
      <c r="C168" s="1"/>
      <c r="D168" s="1"/>
      <c r="E168" s="7"/>
      <c r="F168" s="7"/>
      <c r="L168" s="1"/>
      <c r="M168" s="1"/>
      <c r="N168" s="7"/>
      <c r="O168" s="7"/>
    </row>
    <row r="169" spans="1:15">
      <c r="B169" s="2"/>
      <c r="C169" s="1"/>
      <c r="D169" s="1"/>
      <c r="E169" s="7"/>
      <c r="F169" s="7"/>
      <c r="L169" s="1"/>
      <c r="M169" s="1"/>
      <c r="N169" s="7"/>
      <c r="O169" s="7"/>
    </row>
    <row r="170" spans="1:15">
      <c r="B170" s="2"/>
      <c r="C170" s="1"/>
      <c r="D170" s="1"/>
      <c r="E170" s="7"/>
      <c r="F170" s="7"/>
      <c r="L170" s="1"/>
      <c r="M170" s="1"/>
      <c r="N170" s="7"/>
      <c r="O170" s="7"/>
    </row>
    <row r="171" spans="1:15">
      <c r="B171" s="2"/>
      <c r="C171" s="1"/>
      <c r="D171" s="1"/>
      <c r="E171" s="7"/>
      <c r="F171" s="7"/>
      <c r="L171" s="1"/>
      <c r="M171" s="1"/>
      <c r="N171" s="7"/>
      <c r="O171" s="7"/>
    </row>
    <row r="172" spans="1:15">
      <c r="B172" s="2"/>
      <c r="C172" s="1"/>
      <c r="D172" s="1"/>
      <c r="E172" s="7"/>
      <c r="F172" s="7"/>
      <c r="L172" s="1"/>
      <c r="M172" s="1"/>
      <c r="N172" s="7"/>
      <c r="O172" s="7"/>
    </row>
    <row r="173" spans="1:15">
      <c r="B173" s="2"/>
      <c r="C173" s="1"/>
      <c r="D173" s="1"/>
      <c r="E173" s="7"/>
      <c r="F173" s="7"/>
      <c r="L173" s="1"/>
      <c r="M173" s="1"/>
      <c r="N173" s="7"/>
      <c r="O173" s="7"/>
    </row>
    <row r="174" spans="1:15">
      <c r="B174" s="2"/>
      <c r="C174" s="1"/>
      <c r="D174" s="1"/>
      <c r="E174" s="7"/>
      <c r="F174" s="7"/>
      <c r="L174" s="1"/>
      <c r="M174" s="1"/>
      <c r="N174" s="7"/>
      <c r="O174" s="7"/>
    </row>
    <row r="175" spans="1:15">
      <c r="A175" s="1"/>
      <c r="C175" s="1"/>
      <c r="D175" s="1"/>
      <c r="E175" s="7"/>
      <c r="F175" s="7"/>
      <c r="J175" s="1"/>
      <c r="L175" s="1"/>
      <c r="M175" s="1"/>
      <c r="N175" s="7"/>
      <c r="O175" s="7"/>
    </row>
    <row r="176" spans="1:15">
      <c r="B176" s="34"/>
      <c r="C176" s="1"/>
      <c r="D176" s="1"/>
      <c r="E176" s="7"/>
      <c r="F176" s="7"/>
      <c r="H176" s="34"/>
      <c r="K176" s="34"/>
      <c r="L176" s="1"/>
      <c r="M176" s="1"/>
      <c r="N176" s="7"/>
      <c r="O176" s="7"/>
    </row>
    <row r="177" spans="1:28">
      <c r="C177" s="1"/>
      <c r="D177" s="1"/>
      <c r="E177" s="7"/>
      <c r="F177" s="7"/>
      <c r="L177" s="1"/>
      <c r="M177" s="1"/>
      <c r="N177" s="7"/>
      <c r="O177" s="7"/>
    </row>
    <row r="178" spans="1:28">
      <c r="C178" s="1"/>
      <c r="D178" s="1"/>
      <c r="E178" s="7"/>
      <c r="F178" s="7"/>
      <c r="L178" s="1"/>
      <c r="M178" s="1"/>
      <c r="N178" s="7"/>
      <c r="O178" s="7"/>
    </row>
    <row r="179" spans="1:28">
      <c r="C179" s="1"/>
      <c r="D179" s="1"/>
      <c r="E179" s="7"/>
      <c r="F179" s="7"/>
      <c r="L179" s="1"/>
      <c r="M179" s="1"/>
      <c r="N179" s="7"/>
      <c r="O179" s="7"/>
    </row>
    <row r="180" spans="1:28">
      <c r="C180" s="1"/>
      <c r="D180" s="1"/>
      <c r="E180" s="7"/>
      <c r="F180" s="7"/>
      <c r="L180" s="1"/>
      <c r="M180" s="1"/>
      <c r="N180" s="7"/>
      <c r="O180" s="7"/>
    </row>
    <row r="181" spans="1:28">
      <c r="C181" s="1"/>
      <c r="D181" s="1"/>
      <c r="E181" s="7"/>
      <c r="F181" s="7"/>
      <c r="L181" s="1"/>
      <c r="M181" s="1"/>
      <c r="N181" s="7"/>
      <c r="O181" s="7"/>
    </row>
    <row r="182" spans="1:28">
      <c r="C182" s="1"/>
      <c r="D182" s="1"/>
      <c r="E182" s="7"/>
      <c r="F182" s="7"/>
      <c r="L182" s="1"/>
      <c r="M182" s="1"/>
      <c r="N182" s="7"/>
      <c r="O182" s="7"/>
    </row>
    <row r="183" spans="1:28">
      <c r="C183" s="1"/>
      <c r="D183" s="1"/>
      <c r="E183" s="7"/>
      <c r="F183" s="7"/>
      <c r="L183" s="1"/>
      <c r="M183" s="1"/>
      <c r="N183" s="7"/>
      <c r="O183" s="7"/>
    </row>
    <row r="184" spans="1:28">
      <c r="C184" s="1"/>
      <c r="D184" s="1"/>
      <c r="E184" s="7"/>
      <c r="F184" s="7"/>
      <c r="L184" s="1"/>
      <c r="M184" s="1"/>
      <c r="N184" s="7"/>
      <c r="O184" s="7"/>
    </row>
    <row r="185" spans="1:28">
      <c r="C185" s="1"/>
      <c r="D185" s="1"/>
      <c r="E185" s="7"/>
      <c r="F185" s="7"/>
      <c r="L185" s="1"/>
      <c r="M185" s="1"/>
      <c r="N185" s="7"/>
      <c r="O185" s="7"/>
    </row>
    <row r="186" spans="1:28">
      <c r="A186" s="36"/>
      <c r="B186" s="37"/>
      <c r="C186" s="1"/>
      <c r="D186" s="39"/>
      <c r="E186" s="40"/>
      <c r="F186" s="40"/>
      <c r="H186" s="37"/>
      <c r="I186" s="36"/>
      <c r="J186" s="36"/>
      <c r="K186" s="37"/>
      <c r="L186" s="39"/>
      <c r="M186" s="39"/>
      <c r="N186" s="40"/>
      <c r="O186" s="40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1:28">
      <c r="A187" s="1"/>
      <c r="B187" s="2"/>
      <c r="C187" s="1"/>
      <c r="D187" s="1"/>
      <c r="E187" s="7"/>
      <c r="F187" s="7"/>
      <c r="J187" s="1"/>
      <c r="L187" s="1"/>
      <c r="M187" s="1"/>
      <c r="N187" s="7"/>
      <c r="O187" s="7"/>
    </row>
    <row r="188" spans="1:28">
      <c r="B188" s="34"/>
      <c r="C188" s="1"/>
      <c r="D188" s="1"/>
      <c r="E188" s="7"/>
      <c r="F188" s="7"/>
      <c r="H188" s="34"/>
      <c r="K188" s="34"/>
      <c r="L188" s="1"/>
      <c r="M188" s="1"/>
      <c r="N188" s="7"/>
      <c r="O188" s="7"/>
    </row>
    <row r="189" spans="1:28">
      <c r="B189" s="2"/>
      <c r="C189" s="1"/>
      <c r="D189" s="1"/>
      <c r="E189" s="7"/>
      <c r="F189" s="7"/>
      <c r="L189" s="1"/>
      <c r="M189" s="1"/>
      <c r="N189" s="7"/>
      <c r="O189" s="7"/>
    </row>
    <row r="190" spans="1:28">
      <c r="B190" s="2"/>
      <c r="C190" s="1"/>
      <c r="D190" s="1"/>
      <c r="E190" s="7"/>
      <c r="F190" s="7"/>
      <c r="L190" s="1"/>
      <c r="M190" s="1"/>
      <c r="N190" s="7"/>
      <c r="O190" s="7"/>
    </row>
    <row r="191" spans="1:28">
      <c r="B191" s="2"/>
      <c r="C191" s="1"/>
      <c r="D191" s="1"/>
      <c r="E191" s="7"/>
      <c r="F191" s="7"/>
      <c r="L191" s="1"/>
      <c r="M191" s="1"/>
      <c r="N191" s="7"/>
      <c r="O191" s="7"/>
    </row>
    <row r="192" spans="1:28">
      <c r="B192" s="2"/>
      <c r="C192" s="1"/>
      <c r="D192" s="1"/>
      <c r="E192" s="7"/>
      <c r="F192" s="7"/>
      <c r="L192" s="1"/>
      <c r="M192" s="1"/>
      <c r="N192" s="7"/>
      <c r="O192" s="7"/>
    </row>
    <row r="193" spans="1:15">
      <c r="B193" s="2"/>
      <c r="C193" s="1"/>
      <c r="D193" s="1"/>
      <c r="E193" s="7"/>
      <c r="F193" s="7"/>
      <c r="L193" s="1"/>
      <c r="M193" s="1"/>
      <c r="N193" s="7"/>
      <c r="O193" s="7"/>
    </row>
    <row r="194" spans="1:15">
      <c r="B194" s="2"/>
      <c r="C194" s="1"/>
      <c r="D194" s="1"/>
      <c r="E194" s="7"/>
      <c r="F194" s="7"/>
      <c r="L194" s="1"/>
      <c r="M194" s="1"/>
      <c r="N194" s="7"/>
      <c r="O194" s="7"/>
    </row>
    <row r="195" spans="1:15">
      <c r="B195" s="2"/>
      <c r="C195" s="1"/>
      <c r="D195" s="1"/>
      <c r="E195" s="7"/>
      <c r="F195" s="7"/>
      <c r="L195" s="1"/>
      <c r="M195" s="1"/>
      <c r="N195" s="7"/>
      <c r="O195" s="7"/>
    </row>
    <row r="196" spans="1:15">
      <c r="B196" s="2"/>
      <c r="C196" s="1"/>
      <c r="D196" s="1"/>
      <c r="E196" s="7"/>
      <c r="F196" s="7"/>
      <c r="L196" s="1"/>
      <c r="M196" s="1"/>
      <c r="N196" s="7"/>
      <c r="O196" s="7"/>
    </row>
    <row r="197" spans="1:15">
      <c r="B197" s="2"/>
      <c r="C197" s="1"/>
      <c r="D197" s="1"/>
      <c r="E197" s="7"/>
      <c r="F197" s="7"/>
      <c r="L197" s="1"/>
      <c r="M197" s="1"/>
      <c r="N197" s="7"/>
      <c r="O197" s="7"/>
    </row>
    <row r="198" spans="1:15">
      <c r="B198" s="2"/>
      <c r="C198" s="1"/>
      <c r="D198" s="1"/>
      <c r="E198" s="7"/>
      <c r="F198" s="7"/>
      <c r="L198" s="1"/>
      <c r="M198" s="1"/>
      <c r="N198" s="7"/>
      <c r="O198" s="7"/>
    </row>
    <row r="199" spans="1:15">
      <c r="A199" s="1"/>
      <c r="C199" s="1"/>
      <c r="D199" s="1"/>
      <c r="E199" s="7"/>
      <c r="F199" s="7"/>
      <c r="J199" s="1"/>
      <c r="L199" s="1"/>
      <c r="M199" s="1"/>
      <c r="N199" s="7"/>
      <c r="O199" s="7"/>
    </row>
    <row r="200" spans="1:15">
      <c r="B200" s="34"/>
      <c r="C200" s="1"/>
      <c r="D200" s="1"/>
      <c r="E200" s="7"/>
      <c r="F200" s="7"/>
      <c r="H200" s="34"/>
      <c r="K200" s="34"/>
      <c r="L200" s="1"/>
      <c r="M200" s="1"/>
      <c r="N200" s="7"/>
      <c r="O200" s="7"/>
    </row>
    <row r="201" spans="1:15">
      <c r="C201" s="1"/>
      <c r="D201" s="1"/>
      <c r="E201" s="7"/>
      <c r="F201" s="7"/>
      <c r="L201" s="1"/>
      <c r="M201" s="1"/>
      <c r="N201" s="7"/>
      <c r="O201" s="7"/>
    </row>
    <row r="202" spans="1:15">
      <c r="C202" s="1"/>
      <c r="D202" s="1"/>
      <c r="E202" s="7"/>
      <c r="F202" s="7"/>
      <c r="L202" s="1"/>
      <c r="M202" s="1"/>
      <c r="N202" s="7"/>
      <c r="O202" s="7"/>
    </row>
    <row r="203" spans="1:15">
      <c r="C203" s="1"/>
      <c r="D203" s="1"/>
      <c r="E203" s="7"/>
      <c r="F203" s="7"/>
      <c r="L203" s="1"/>
      <c r="M203" s="1"/>
      <c r="N203" s="7"/>
      <c r="O203" s="7"/>
    </row>
    <row r="204" spans="1:15">
      <c r="C204" s="1"/>
      <c r="D204" s="1"/>
      <c r="E204" s="7"/>
      <c r="F204" s="7"/>
      <c r="L204" s="1"/>
      <c r="M204" s="1"/>
      <c r="N204" s="7"/>
      <c r="O204" s="7"/>
    </row>
    <row r="205" spans="1:15">
      <c r="C205" s="1"/>
      <c r="D205" s="1"/>
      <c r="E205" s="7"/>
      <c r="F205" s="7"/>
      <c r="L205" s="1"/>
      <c r="M205" s="1"/>
      <c r="N205" s="7"/>
      <c r="O205" s="7"/>
    </row>
    <row r="206" spans="1:15">
      <c r="C206" s="1"/>
      <c r="D206" s="1"/>
      <c r="E206" s="7"/>
      <c r="F206" s="7"/>
      <c r="L206" s="1"/>
      <c r="M206" s="1"/>
      <c r="N206" s="7"/>
      <c r="O206" s="7"/>
    </row>
    <row r="207" spans="1:15">
      <c r="C207" s="1"/>
      <c r="D207" s="1"/>
      <c r="E207" s="7"/>
      <c r="F207" s="7"/>
      <c r="L207" s="1"/>
      <c r="M207" s="1"/>
      <c r="N207" s="7"/>
      <c r="O207" s="7"/>
    </row>
    <row r="208" spans="1:15">
      <c r="C208" s="1"/>
      <c r="D208" s="1"/>
      <c r="E208" s="7"/>
      <c r="F208" s="7"/>
      <c r="L208" s="1"/>
      <c r="M208" s="1"/>
      <c r="N208" s="7"/>
      <c r="O208" s="7"/>
    </row>
    <row r="209" spans="1:15">
      <c r="C209" s="1"/>
      <c r="D209" s="1"/>
      <c r="E209" s="7"/>
      <c r="F209" s="7"/>
      <c r="L209" s="1"/>
      <c r="M209" s="1"/>
      <c r="N209" s="7"/>
      <c r="O209" s="7"/>
    </row>
    <row r="210" spans="1:15">
      <c r="C210" s="1"/>
      <c r="D210" s="1"/>
      <c r="E210" s="7"/>
      <c r="F210" s="7"/>
      <c r="L210" s="1"/>
      <c r="M210" s="1"/>
      <c r="N210" s="7"/>
      <c r="O210" s="7"/>
    </row>
    <row r="211" spans="1:15">
      <c r="A211" s="1"/>
      <c r="C211" s="1"/>
      <c r="D211" s="1"/>
      <c r="E211" s="7"/>
      <c r="F211" s="7"/>
      <c r="J211" s="1"/>
      <c r="L211" s="1"/>
      <c r="M211" s="1"/>
      <c r="N211" s="7"/>
      <c r="O211" s="7"/>
    </row>
    <row r="212" spans="1:15">
      <c r="B212" s="34"/>
      <c r="C212" s="1"/>
      <c r="D212" s="1"/>
      <c r="E212" s="7"/>
      <c r="F212" s="7"/>
      <c r="H212" s="34"/>
      <c r="K212" s="34"/>
      <c r="L212" s="1"/>
      <c r="M212" s="1"/>
      <c r="N212" s="7"/>
      <c r="O212" s="7"/>
    </row>
    <row r="213" spans="1:15">
      <c r="C213" s="1"/>
      <c r="D213" s="1"/>
      <c r="E213" s="7"/>
      <c r="F213" s="7"/>
      <c r="L213" s="1"/>
      <c r="M213" s="1"/>
      <c r="N213" s="7"/>
      <c r="O213" s="7"/>
    </row>
    <row r="214" spans="1:15">
      <c r="C214" s="1"/>
      <c r="D214" s="1"/>
      <c r="E214" s="7"/>
      <c r="F214" s="7"/>
      <c r="L214" s="1"/>
      <c r="M214" s="1"/>
      <c r="N214" s="7"/>
      <c r="O214" s="7"/>
    </row>
    <row r="215" spans="1:15">
      <c r="C215" s="1"/>
      <c r="D215" s="1"/>
      <c r="E215" s="7"/>
      <c r="F215" s="7"/>
      <c r="L215" s="1"/>
      <c r="M215" s="1"/>
      <c r="N215" s="7"/>
      <c r="O215" s="7"/>
    </row>
    <row r="216" spans="1:15">
      <c r="C216" s="1"/>
      <c r="D216" s="1"/>
      <c r="E216" s="7"/>
      <c r="F216" s="7"/>
      <c r="L216" s="1"/>
      <c r="M216" s="1"/>
      <c r="N216" s="7"/>
      <c r="O216" s="7"/>
    </row>
    <row r="217" spans="1:15">
      <c r="C217" s="1"/>
      <c r="D217" s="1"/>
      <c r="E217" s="7"/>
      <c r="F217" s="7"/>
      <c r="L217" s="1"/>
      <c r="M217" s="1"/>
      <c r="N217" s="7"/>
      <c r="O217" s="7"/>
    </row>
    <row r="218" spans="1:15">
      <c r="C218" s="1"/>
      <c r="D218" s="1"/>
      <c r="E218" s="7"/>
      <c r="F218" s="7"/>
      <c r="L218" s="1"/>
      <c r="M218" s="1"/>
      <c r="N218" s="7"/>
      <c r="O218" s="7"/>
    </row>
    <row r="219" spans="1:15">
      <c r="C219" s="1"/>
      <c r="D219" s="1"/>
      <c r="E219" s="7"/>
      <c r="F219" s="7"/>
      <c r="L219" s="1"/>
      <c r="M219" s="1"/>
      <c r="N219" s="7"/>
      <c r="O219" s="7"/>
    </row>
    <row r="220" spans="1:15">
      <c r="C220" s="1"/>
      <c r="D220" s="1"/>
      <c r="E220" s="7"/>
      <c r="F220" s="7"/>
      <c r="L220" s="1"/>
      <c r="M220" s="1"/>
      <c r="N220" s="7"/>
      <c r="O220" s="7"/>
    </row>
    <row r="221" spans="1:15">
      <c r="C221" s="1"/>
      <c r="D221" s="1"/>
      <c r="E221" s="7"/>
      <c r="F221" s="7"/>
      <c r="L221" s="1"/>
      <c r="M221" s="1"/>
      <c r="N221" s="7"/>
      <c r="O221" s="7"/>
    </row>
    <row r="222" spans="1:15">
      <c r="C222" s="1"/>
      <c r="D222" s="1"/>
      <c r="E222" s="7"/>
      <c r="F222" s="7"/>
      <c r="L222" s="1"/>
      <c r="M222" s="1"/>
      <c r="N222" s="7"/>
      <c r="O222" s="7"/>
    </row>
    <row r="223" spans="1:15">
      <c r="A223" s="1"/>
      <c r="C223" s="1"/>
      <c r="D223" s="1"/>
      <c r="E223" s="7"/>
      <c r="F223" s="7"/>
      <c r="J223" s="1"/>
      <c r="L223" s="1"/>
      <c r="M223" s="1"/>
      <c r="N223" s="7"/>
      <c r="O223" s="7"/>
    </row>
    <row r="224" spans="1:15">
      <c r="B224" s="34"/>
      <c r="C224" s="1"/>
      <c r="D224" s="1"/>
      <c r="E224" s="7"/>
      <c r="F224" s="7"/>
      <c r="H224" s="34"/>
      <c r="K224" s="34"/>
      <c r="L224" s="1"/>
      <c r="M224" s="1"/>
      <c r="N224" s="7"/>
      <c r="O224" s="7"/>
    </row>
    <row r="225" spans="1:15">
      <c r="C225" s="1"/>
      <c r="D225" s="1"/>
      <c r="E225" s="7"/>
      <c r="F225" s="7"/>
      <c r="L225" s="1"/>
      <c r="M225" s="1"/>
      <c r="N225" s="7"/>
      <c r="O225" s="7"/>
    </row>
    <row r="226" spans="1:15">
      <c r="C226" s="1"/>
      <c r="D226" s="1"/>
      <c r="E226" s="7"/>
      <c r="F226" s="7"/>
      <c r="L226" s="1"/>
      <c r="M226" s="1"/>
      <c r="N226" s="7"/>
      <c r="O226" s="7"/>
    </row>
    <row r="227" spans="1:15">
      <c r="C227" s="1"/>
      <c r="D227" s="1"/>
      <c r="E227" s="7"/>
      <c r="F227" s="7"/>
      <c r="L227" s="1"/>
      <c r="M227" s="1"/>
      <c r="N227" s="7"/>
      <c r="O227" s="7"/>
    </row>
    <row r="228" spans="1:15">
      <c r="C228" s="1"/>
      <c r="D228" s="1"/>
      <c r="E228" s="7"/>
      <c r="F228" s="7"/>
      <c r="L228" s="1"/>
      <c r="M228" s="1"/>
      <c r="N228" s="7"/>
      <c r="O228" s="7"/>
    </row>
    <row r="229" spans="1:15">
      <c r="C229" s="1"/>
      <c r="D229" s="1"/>
      <c r="E229" s="7"/>
      <c r="F229" s="7"/>
      <c r="L229" s="1"/>
      <c r="M229" s="1"/>
      <c r="N229" s="7"/>
      <c r="O229" s="7"/>
    </row>
    <row r="230" spans="1:15">
      <c r="C230" s="1"/>
      <c r="D230" s="1"/>
      <c r="E230" s="7"/>
      <c r="F230" s="7"/>
      <c r="L230" s="1"/>
      <c r="M230" s="1"/>
      <c r="N230" s="7"/>
      <c r="O230" s="7"/>
    </row>
    <row r="231" spans="1:15">
      <c r="C231" s="1"/>
      <c r="D231" s="1"/>
      <c r="E231" s="7"/>
      <c r="F231" s="7"/>
      <c r="L231" s="1"/>
      <c r="M231" s="1"/>
      <c r="N231" s="7"/>
      <c r="O231" s="7"/>
    </row>
    <row r="232" spans="1:15">
      <c r="C232" s="1"/>
      <c r="D232" s="1"/>
      <c r="E232" s="7"/>
      <c r="F232" s="7"/>
      <c r="L232" s="1"/>
      <c r="M232" s="1"/>
      <c r="N232" s="7"/>
      <c r="O232" s="7"/>
    </row>
    <row r="233" spans="1:15">
      <c r="C233" s="1"/>
      <c r="D233" s="1"/>
      <c r="E233" s="7"/>
      <c r="F233" s="7"/>
      <c r="L233" s="1"/>
      <c r="M233" s="1"/>
      <c r="N233" s="7"/>
      <c r="O233" s="7"/>
    </row>
    <row r="234" spans="1:15">
      <c r="C234" s="1"/>
      <c r="D234" s="1"/>
      <c r="E234" s="7"/>
      <c r="F234" s="7"/>
      <c r="L234" s="1"/>
      <c r="M234" s="1"/>
      <c r="N234" s="7"/>
      <c r="O234" s="7"/>
    </row>
    <row r="235" spans="1:15">
      <c r="A235" s="1"/>
      <c r="C235" s="1"/>
      <c r="D235" s="1"/>
      <c r="E235" s="7"/>
      <c r="F235" s="7"/>
      <c r="J235" s="1"/>
      <c r="L235" s="1"/>
      <c r="M235" s="1"/>
      <c r="N235" s="7"/>
      <c r="O235" s="7"/>
    </row>
    <row r="236" spans="1:15">
      <c r="B236" s="34"/>
      <c r="C236" s="1"/>
      <c r="D236" s="1"/>
      <c r="E236" s="7"/>
      <c r="F236" s="7"/>
      <c r="H236" s="34"/>
      <c r="K236" s="34"/>
      <c r="L236" s="1"/>
      <c r="M236" s="1"/>
      <c r="N236" s="7"/>
      <c r="O236" s="7"/>
    </row>
    <row r="237" spans="1:15">
      <c r="C237" s="1"/>
      <c r="D237" s="1"/>
      <c r="E237" s="7"/>
      <c r="F237" s="7"/>
      <c r="L237" s="1"/>
      <c r="M237" s="1"/>
      <c r="N237" s="7"/>
      <c r="O237" s="7"/>
    </row>
    <row r="238" spans="1:15">
      <c r="C238" s="1"/>
      <c r="D238" s="1"/>
      <c r="E238" s="7"/>
      <c r="F238" s="7"/>
      <c r="L238" s="1"/>
      <c r="M238" s="1"/>
      <c r="N238" s="7"/>
      <c r="O238" s="7"/>
    </row>
    <row r="239" spans="1:15">
      <c r="C239" s="1"/>
      <c r="D239" s="1"/>
      <c r="E239" s="7"/>
      <c r="F239" s="7"/>
      <c r="L239" s="1"/>
      <c r="M239" s="1"/>
      <c r="N239" s="7"/>
      <c r="O239" s="7"/>
    </row>
    <row r="240" spans="1:15">
      <c r="C240" s="1"/>
      <c r="D240" s="1"/>
      <c r="E240" s="7"/>
      <c r="F240" s="7"/>
      <c r="L240" s="1"/>
      <c r="M240" s="1"/>
      <c r="N240" s="7"/>
      <c r="O240" s="7"/>
    </row>
    <row r="241" spans="1:15">
      <c r="C241" s="1"/>
      <c r="D241" s="1"/>
      <c r="E241" s="7"/>
      <c r="F241" s="7"/>
      <c r="L241" s="1"/>
      <c r="M241" s="1"/>
      <c r="N241" s="7"/>
      <c r="O241" s="7"/>
    </row>
    <row r="242" spans="1:15">
      <c r="C242" s="1"/>
      <c r="D242" s="1"/>
      <c r="E242" s="7"/>
      <c r="F242" s="7"/>
      <c r="L242" s="1"/>
      <c r="M242" s="1"/>
      <c r="N242" s="7"/>
      <c r="O242" s="7"/>
    </row>
    <row r="243" spans="1:15">
      <c r="C243" s="1"/>
      <c r="D243" s="1"/>
      <c r="E243" s="7"/>
      <c r="F243" s="7"/>
      <c r="L243" s="1"/>
      <c r="M243" s="1"/>
      <c r="N243" s="7"/>
      <c r="O243" s="7"/>
    </row>
    <row r="244" spans="1:15">
      <c r="C244" s="1"/>
      <c r="D244" s="1"/>
      <c r="E244" s="7"/>
      <c r="F244" s="7"/>
      <c r="L244" s="1"/>
      <c r="M244" s="1"/>
      <c r="N244" s="7"/>
      <c r="O244" s="7"/>
    </row>
    <row r="245" spans="1:15">
      <c r="C245" s="1"/>
      <c r="D245" s="1"/>
      <c r="E245" s="7"/>
      <c r="F245" s="7"/>
      <c r="L245" s="1"/>
      <c r="M245" s="1"/>
      <c r="N245" s="7"/>
      <c r="O245" s="7"/>
    </row>
    <row r="246" spans="1:15">
      <c r="C246" s="1"/>
      <c r="D246" s="1"/>
      <c r="E246" s="7"/>
      <c r="F246" s="7"/>
      <c r="L246" s="1"/>
      <c r="M246" s="1"/>
      <c r="N246" s="7"/>
      <c r="O246" s="7"/>
    </row>
    <row r="247" spans="1:15">
      <c r="A247" s="1"/>
      <c r="C247" s="1"/>
      <c r="D247" s="1"/>
      <c r="E247" s="7"/>
      <c r="F247" s="7"/>
      <c r="J247" s="1"/>
      <c r="L247" s="1"/>
      <c r="M247" s="1"/>
      <c r="N247" s="7"/>
      <c r="O247" s="7"/>
    </row>
    <row r="248" spans="1:15">
      <c r="B248" s="34"/>
      <c r="C248" s="1"/>
      <c r="D248" s="1"/>
      <c r="E248" s="7"/>
      <c r="F248" s="7"/>
      <c r="H248" s="34"/>
      <c r="K248" s="34"/>
      <c r="L248" s="1"/>
      <c r="M248" s="1"/>
      <c r="N248" s="7"/>
      <c r="O248" s="7"/>
    </row>
    <row r="249" spans="1:15">
      <c r="C249" s="1"/>
      <c r="D249" s="1"/>
      <c r="E249" s="7"/>
      <c r="F249" s="7"/>
      <c r="L249" s="1"/>
      <c r="M249" s="1"/>
      <c r="N249" s="7"/>
      <c r="O249" s="7"/>
    </row>
    <row r="250" spans="1:15">
      <c r="C250" s="1"/>
      <c r="D250" s="1"/>
      <c r="E250" s="7"/>
      <c r="F250" s="7"/>
      <c r="L250" s="1"/>
      <c r="M250" s="1"/>
      <c r="N250" s="7"/>
      <c r="O250" s="7"/>
    </row>
    <row r="251" spans="1:15">
      <c r="C251" s="1"/>
      <c r="D251" s="1"/>
      <c r="E251" s="7"/>
      <c r="F251" s="7"/>
      <c r="L251" s="1"/>
      <c r="M251" s="1"/>
      <c r="N251" s="7"/>
      <c r="O251" s="7"/>
    </row>
    <row r="252" spans="1:15">
      <c r="C252" s="1"/>
      <c r="D252" s="1"/>
      <c r="E252" s="7"/>
      <c r="F252" s="7"/>
      <c r="L252" s="1"/>
      <c r="M252" s="1"/>
      <c r="N252" s="7"/>
      <c r="O252" s="7"/>
    </row>
    <row r="253" spans="1:15">
      <c r="C253" s="1"/>
      <c r="D253" s="1"/>
      <c r="E253" s="7"/>
      <c r="F253" s="7"/>
      <c r="L253" s="1"/>
      <c r="M253" s="1"/>
      <c r="N253" s="7"/>
      <c r="O253" s="7"/>
    </row>
    <row r="254" spans="1:15">
      <c r="C254" s="1"/>
      <c r="D254" s="1"/>
      <c r="E254" s="7"/>
      <c r="F254" s="7"/>
      <c r="L254" s="1"/>
      <c r="M254" s="1"/>
      <c r="N254" s="7"/>
      <c r="O254" s="7"/>
    </row>
    <row r="255" spans="1:15">
      <c r="C255" s="1"/>
      <c r="D255" s="1"/>
      <c r="E255" s="7"/>
      <c r="F255" s="7"/>
      <c r="L255" s="1"/>
      <c r="M255" s="1"/>
      <c r="N255" s="7"/>
      <c r="O255" s="7"/>
    </row>
    <row r="256" spans="1:15">
      <c r="C256" s="1"/>
      <c r="D256" s="1"/>
      <c r="E256" s="7"/>
      <c r="F256" s="7"/>
      <c r="L256" s="1"/>
      <c r="M256" s="1"/>
      <c r="N256" s="7"/>
      <c r="O256" s="7"/>
    </row>
    <row r="257" spans="1:15">
      <c r="C257" s="1"/>
      <c r="D257" s="1"/>
      <c r="E257" s="7"/>
      <c r="F257" s="7"/>
      <c r="L257" s="1"/>
      <c r="M257" s="1"/>
      <c r="N257" s="7"/>
      <c r="O257" s="7"/>
    </row>
    <row r="258" spans="1:15">
      <c r="C258" s="1"/>
      <c r="D258" s="1"/>
      <c r="E258" s="7"/>
      <c r="F258" s="7"/>
      <c r="L258" s="1"/>
      <c r="M258" s="1"/>
      <c r="N258" s="7"/>
      <c r="O258" s="7"/>
    </row>
    <row r="259" spans="1:15">
      <c r="A259" s="1"/>
      <c r="C259" s="1"/>
      <c r="D259" s="1"/>
      <c r="E259" s="7"/>
      <c r="F259" s="7"/>
    </row>
    <row r="260" spans="1:15">
      <c r="B260" s="34"/>
      <c r="C260" s="1"/>
      <c r="D260" s="1"/>
      <c r="E260" s="7"/>
      <c r="F260" s="7"/>
    </row>
    <row r="261" spans="1:15">
      <c r="C261" s="1"/>
      <c r="D261" s="1"/>
      <c r="E261" s="7"/>
      <c r="F261" s="7"/>
    </row>
    <row r="262" spans="1:15">
      <c r="C262" s="1"/>
      <c r="D262" s="1"/>
      <c r="E262" s="7"/>
      <c r="F262" s="7"/>
    </row>
    <row r="263" spans="1:15">
      <c r="C263" s="1"/>
      <c r="D263" s="1"/>
      <c r="E263" s="7"/>
      <c r="F263" s="7"/>
    </row>
    <row r="264" spans="1:15">
      <c r="C264" s="1"/>
      <c r="D264" s="1"/>
      <c r="E264" s="7"/>
      <c r="F264" s="7"/>
    </row>
    <row r="265" spans="1:15">
      <c r="C265" s="1"/>
      <c r="D265" s="1"/>
      <c r="E265" s="7"/>
      <c r="F265" s="7"/>
    </row>
    <row r="266" spans="1:15">
      <c r="C266" s="1"/>
      <c r="D266" s="1"/>
      <c r="E266" s="7"/>
      <c r="F266" s="7"/>
    </row>
    <row r="267" spans="1:15">
      <c r="C267" s="1"/>
      <c r="D267" s="1"/>
      <c r="E267" s="7"/>
      <c r="F267" s="7"/>
    </row>
    <row r="268" spans="1:15">
      <c r="C268" s="1"/>
      <c r="D268" s="1"/>
      <c r="E268" s="7"/>
      <c r="F268" s="7"/>
    </row>
    <row r="269" spans="1:15">
      <c r="C269" s="1"/>
      <c r="D269" s="1"/>
      <c r="E269" s="7"/>
      <c r="F269" s="7"/>
    </row>
    <row r="270" spans="1:15">
      <c r="C270" s="1"/>
      <c r="D270" s="1"/>
      <c r="E270" s="7"/>
      <c r="F270" s="7"/>
    </row>
    <row r="271" spans="1:15">
      <c r="A271" s="1"/>
      <c r="C271" s="1"/>
      <c r="D271" s="1"/>
      <c r="E271" s="7"/>
      <c r="F271" s="7"/>
    </row>
    <row r="272" spans="1:15">
      <c r="B272" s="34"/>
      <c r="C272" s="1"/>
      <c r="D272" s="1"/>
      <c r="E272" s="7"/>
      <c r="F272" s="7"/>
    </row>
    <row r="273" spans="1:6">
      <c r="C273" s="1"/>
      <c r="D273" s="1"/>
      <c r="E273" s="7"/>
      <c r="F273" s="7"/>
    </row>
    <row r="274" spans="1:6">
      <c r="C274" s="1"/>
      <c r="D274" s="1"/>
      <c r="E274" s="7"/>
      <c r="F274" s="7"/>
    </row>
    <row r="275" spans="1:6">
      <c r="C275" s="1"/>
      <c r="D275" s="1"/>
      <c r="E275" s="7"/>
      <c r="F275" s="7"/>
    </row>
    <row r="276" spans="1:6">
      <c r="C276" s="1"/>
      <c r="D276" s="1"/>
      <c r="E276" s="7"/>
      <c r="F276" s="7"/>
    </row>
    <row r="277" spans="1:6">
      <c r="C277" s="1"/>
      <c r="D277" s="1"/>
      <c r="E277" s="7"/>
      <c r="F277" s="7"/>
    </row>
    <row r="278" spans="1:6">
      <c r="C278" s="1"/>
      <c r="D278" s="1"/>
      <c r="E278" s="7"/>
      <c r="F278" s="7"/>
    </row>
    <row r="279" spans="1:6">
      <c r="C279" s="1"/>
      <c r="D279" s="1"/>
      <c r="E279" s="7"/>
      <c r="F279" s="7"/>
    </row>
    <row r="280" spans="1:6">
      <c r="C280" s="1"/>
      <c r="D280" s="1"/>
      <c r="E280" s="7"/>
      <c r="F280" s="7"/>
    </row>
    <row r="281" spans="1:6">
      <c r="C281" s="1"/>
      <c r="D281" s="1"/>
      <c r="E281" s="7"/>
      <c r="F281" s="7"/>
    </row>
    <row r="282" spans="1:6">
      <c r="C282" s="1"/>
      <c r="D282" s="1"/>
      <c r="E282" s="7"/>
      <c r="F282" s="7"/>
    </row>
    <row r="283" spans="1:6">
      <c r="A283" s="1"/>
      <c r="C283" s="1"/>
      <c r="D283" s="1"/>
      <c r="E283" s="7"/>
      <c r="F283" s="7"/>
    </row>
    <row r="284" spans="1:6">
      <c r="B284" s="34"/>
      <c r="C284" s="1"/>
      <c r="D284" s="1"/>
      <c r="E284" s="7"/>
      <c r="F284" s="7"/>
    </row>
    <row r="285" spans="1:6">
      <c r="C285" s="1"/>
      <c r="D285" s="1"/>
      <c r="E285" s="7"/>
      <c r="F285" s="7"/>
    </row>
    <row r="286" spans="1:6">
      <c r="C286" s="1"/>
      <c r="D286" s="1"/>
      <c r="E286" s="7"/>
      <c r="F286" s="7"/>
    </row>
    <row r="287" spans="1:6">
      <c r="C287" s="1"/>
      <c r="D287" s="1"/>
      <c r="E287" s="7"/>
      <c r="F287" s="7"/>
    </row>
    <row r="288" spans="1:6">
      <c r="C288" s="1"/>
      <c r="D288" s="1"/>
      <c r="E288" s="7"/>
      <c r="F288" s="7"/>
    </row>
    <row r="289" spans="1:6">
      <c r="C289" s="1"/>
      <c r="D289" s="1"/>
      <c r="E289" s="7"/>
      <c r="F289" s="7"/>
    </row>
    <row r="290" spans="1:6">
      <c r="C290" s="1"/>
      <c r="D290" s="1"/>
      <c r="E290" s="7"/>
      <c r="F290" s="7"/>
    </row>
    <row r="291" spans="1:6">
      <c r="C291" s="1"/>
      <c r="D291" s="1"/>
      <c r="E291" s="7"/>
      <c r="F291" s="7"/>
    </row>
    <row r="292" spans="1:6">
      <c r="C292" s="1"/>
      <c r="D292" s="1"/>
      <c r="E292" s="7"/>
      <c r="F292" s="7"/>
    </row>
    <row r="293" spans="1:6">
      <c r="C293" s="1"/>
      <c r="D293" s="1"/>
      <c r="E293" s="7"/>
      <c r="F293" s="7"/>
    </row>
    <row r="294" spans="1:6">
      <c r="C294" s="1"/>
      <c r="D294" s="1"/>
      <c r="E294" s="7"/>
      <c r="F294" s="7"/>
    </row>
    <row r="295" spans="1:6">
      <c r="A295" s="1"/>
      <c r="C295" s="1"/>
      <c r="D295" s="1"/>
      <c r="E295" s="7"/>
      <c r="F295" s="7"/>
    </row>
    <row r="296" spans="1:6">
      <c r="B296" s="34"/>
      <c r="C296" s="1"/>
      <c r="D296" s="1"/>
      <c r="E296" s="7"/>
      <c r="F296" s="7"/>
    </row>
    <row r="297" spans="1:6">
      <c r="C297" s="1"/>
      <c r="D297" s="1"/>
      <c r="E297" s="7"/>
      <c r="F297" s="7"/>
    </row>
    <row r="298" spans="1:6">
      <c r="C298" s="1"/>
      <c r="D298" s="1"/>
      <c r="E298" s="7"/>
      <c r="F298" s="7"/>
    </row>
    <row r="299" spans="1:6">
      <c r="C299" s="1"/>
      <c r="D299" s="1"/>
      <c r="E299" s="7"/>
      <c r="F299" s="7"/>
    </row>
    <row r="300" spans="1:6">
      <c r="C300" s="1"/>
      <c r="D300" s="1"/>
      <c r="E300" s="7"/>
      <c r="F300" s="7"/>
    </row>
    <row r="301" spans="1:6">
      <c r="C301" s="1"/>
      <c r="D301" s="1"/>
      <c r="E301" s="7"/>
      <c r="F301" s="7"/>
    </row>
    <row r="302" spans="1:6">
      <c r="C302" s="1"/>
      <c r="D302" s="1"/>
      <c r="E302" s="7"/>
      <c r="F302" s="7"/>
    </row>
    <row r="303" spans="1:6">
      <c r="C303" s="1"/>
      <c r="D303" s="1"/>
      <c r="E303" s="7"/>
      <c r="F303" s="7"/>
    </row>
    <row r="304" spans="1:6">
      <c r="C304" s="1"/>
      <c r="D304" s="1"/>
      <c r="E304" s="7"/>
      <c r="F304" s="7"/>
    </row>
    <row r="305" spans="1:6">
      <c r="C305" s="1"/>
      <c r="D305" s="1"/>
      <c r="E305" s="7"/>
      <c r="F305" s="7"/>
    </row>
    <row r="306" spans="1:6">
      <c r="C306" s="1"/>
      <c r="D306" s="1"/>
      <c r="E306" s="7"/>
      <c r="F306" s="7"/>
    </row>
    <row r="307" spans="1:6">
      <c r="A307" s="1"/>
      <c r="C307" s="1"/>
      <c r="D307" s="1"/>
      <c r="E307" s="7"/>
      <c r="F307" s="7"/>
    </row>
    <row r="308" spans="1:6">
      <c r="B308" s="34"/>
      <c r="C308" s="1"/>
      <c r="D308" s="1"/>
      <c r="E308" s="7"/>
      <c r="F308" s="7"/>
    </row>
    <row r="309" spans="1:6">
      <c r="C309" s="1"/>
      <c r="D309" s="1"/>
      <c r="E309" s="7"/>
      <c r="F309" s="7"/>
    </row>
    <row r="310" spans="1:6">
      <c r="C310" s="1"/>
      <c r="D310" s="1"/>
      <c r="E310" s="7"/>
      <c r="F310" s="7"/>
    </row>
    <row r="311" spans="1:6">
      <c r="C311" s="1"/>
      <c r="D311" s="1"/>
      <c r="E311" s="7"/>
      <c r="F311" s="7"/>
    </row>
    <row r="312" spans="1:6">
      <c r="C312" s="1"/>
      <c r="D312" s="1"/>
      <c r="E312" s="7"/>
      <c r="F312" s="7"/>
    </row>
    <row r="313" spans="1:6">
      <c r="C313" s="1"/>
      <c r="D313" s="1"/>
      <c r="E313" s="7"/>
      <c r="F313" s="7"/>
    </row>
    <row r="314" spans="1:6">
      <c r="C314" s="1"/>
      <c r="D314" s="1"/>
      <c r="E314" s="7"/>
      <c r="F314" s="7"/>
    </row>
    <row r="315" spans="1:6">
      <c r="C315" s="1"/>
      <c r="D315" s="1"/>
      <c r="E315" s="7"/>
      <c r="F315" s="7"/>
    </row>
    <row r="316" spans="1:6">
      <c r="C316" s="1"/>
      <c r="D316" s="1"/>
      <c r="E316" s="7"/>
      <c r="F316" s="7"/>
    </row>
    <row r="317" spans="1:6">
      <c r="C317" s="1"/>
      <c r="D317" s="1"/>
      <c r="E317" s="7"/>
      <c r="F317" s="7"/>
    </row>
    <row r="318" spans="1:6">
      <c r="C318" s="1"/>
      <c r="D318" s="1"/>
      <c r="E318" s="7"/>
      <c r="F318" s="7"/>
    </row>
    <row r="319" spans="1:6">
      <c r="A319" s="1"/>
      <c r="C319" s="1"/>
      <c r="D319" s="1"/>
      <c r="E319" s="7"/>
      <c r="F319" s="7"/>
    </row>
    <row r="320" spans="1:6">
      <c r="B320" s="34"/>
      <c r="C320" s="1"/>
      <c r="D320" s="1"/>
      <c r="E320" s="7"/>
      <c r="F320" s="7"/>
    </row>
    <row r="321" spans="1:6">
      <c r="C321" s="1"/>
      <c r="D321" s="1"/>
      <c r="E321" s="7"/>
      <c r="F321" s="7"/>
    </row>
    <row r="322" spans="1:6">
      <c r="C322" s="1"/>
      <c r="D322" s="1"/>
      <c r="E322" s="7"/>
      <c r="F322" s="7"/>
    </row>
    <row r="323" spans="1:6">
      <c r="C323" s="1"/>
      <c r="D323" s="1"/>
      <c r="E323" s="7"/>
      <c r="F323" s="7"/>
    </row>
    <row r="324" spans="1:6">
      <c r="C324" s="1"/>
      <c r="D324" s="1"/>
      <c r="E324" s="7"/>
      <c r="F324" s="7"/>
    </row>
    <row r="325" spans="1:6">
      <c r="C325" s="1"/>
      <c r="D325" s="1"/>
      <c r="E325" s="7"/>
      <c r="F325" s="7"/>
    </row>
    <row r="326" spans="1:6">
      <c r="C326" s="1"/>
      <c r="D326" s="1"/>
      <c r="E326" s="7"/>
      <c r="F326" s="7"/>
    </row>
    <row r="327" spans="1:6">
      <c r="C327" s="1"/>
      <c r="D327" s="1"/>
      <c r="E327" s="7"/>
      <c r="F327" s="7"/>
    </row>
    <row r="328" spans="1:6">
      <c r="C328" s="1"/>
      <c r="D328" s="1"/>
      <c r="E328" s="7"/>
      <c r="F328" s="7"/>
    </row>
    <row r="329" spans="1:6">
      <c r="C329" s="1"/>
      <c r="D329" s="1"/>
      <c r="E329" s="7"/>
      <c r="F329" s="7"/>
    </row>
    <row r="330" spans="1:6">
      <c r="C330" s="1"/>
      <c r="D330" s="1"/>
      <c r="E330" s="7"/>
      <c r="F330" s="7"/>
    </row>
    <row r="331" spans="1:6">
      <c r="A331" s="1"/>
      <c r="C331" s="1"/>
      <c r="D331" s="1"/>
      <c r="E331" s="7"/>
      <c r="F331" s="7"/>
    </row>
    <row r="332" spans="1:6">
      <c r="B332" s="34"/>
      <c r="C332" s="1"/>
      <c r="D332" s="1"/>
      <c r="E332" s="7"/>
      <c r="F332" s="7"/>
    </row>
    <row r="333" spans="1:6">
      <c r="C333" s="1"/>
      <c r="D333" s="1"/>
      <c r="E333" s="7"/>
      <c r="F333" s="7"/>
    </row>
    <row r="334" spans="1:6">
      <c r="C334" s="1"/>
      <c r="D334" s="1"/>
      <c r="E334" s="7"/>
      <c r="F334" s="7"/>
    </row>
    <row r="335" spans="1:6">
      <c r="C335" s="1"/>
      <c r="D335" s="1"/>
      <c r="E335" s="7"/>
      <c r="F335" s="7"/>
    </row>
    <row r="336" spans="1:6">
      <c r="C336" s="1"/>
      <c r="D336" s="1"/>
      <c r="E336" s="7"/>
      <c r="F336" s="7"/>
    </row>
    <row r="337" spans="1:6">
      <c r="C337" s="1"/>
      <c r="D337" s="1"/>
      <c r="E337" s="7"/>
      <c r="F337" s="7"/>
    </row>
    <row r="338" spans="1:6">
      <c r="C338" s="1"/>
      <c r="D338" s="1"/>
      <c r="E338" s="7"/>
      <c r="F338" s="7"/>
    </row>
    <row r="339" spans="1:6">
      <c r="C339" s="1"/>
      <c r="D339" s="1"/>
      <c r="E339" s="7"/>
      <c r="F339" s="7"/>
    </row>
    <row r="340" spans="1:6">
      <c r="C340" s="1"/>
      <c r="D340" s="1"/>
      <c r="E340" s="7"/>
      <c r="F340" s="7"/>
    </row>
    <row r="341" spans="1:6">
      <c r="C341" s="1"/>
      <c r="D341" s="1"/>
      <c r="E341" s="7"/>
      <c r="F341" s="7"/>
    </row>
    <row r="342" spans="1:6">
      <c r="C342" s="1"/>
      <c r="D342" s="1"/>
      <c r="E342" s="7"/>
      <c r="F342" s="7"/>
    </row>
    <row r="343" spans="1:6">
      <c r="A343" s="1"/>
      <c r="C343" s="1"/>
      <c r="D343" s="1"/>
      <c r="E343" s="7"/>
      <c r="F343" s="7"/>
    </row>
    <row r="344" spans="1:6">
      <c r="B344" s="34"/>
      <c r="C344" s="1"/>
      <c r="D344" s="1"/>
      <c r="E344" s="7"/>
      <c r="F344" s="7"/>
    </row>
    <row r="345" spans="1:6">
      <c r="C345" s="1"/>
      <c r="D345" s="1"/>
      <c r="E345" s="7"/>
      <c r="F345" s="7"/>
    </row>
    <row r="346" spans="1:6">
      <c r="C346" s="1"/>
      <c r="D346" s="1"/>
      <c r="E346" s="7"/>
      <c r="F346" s="7"/>
    </row>
    <row r="347" spans="1:6">
      <c r="C347" s="1"/>
      <c r="D347" s="1"/>
      <c r="E347" s="7"/>
      <c r="F347" s="7"/>
    </row>
    <row r="348" spans="1:6">
      <c r="C348" s="1"/>
      <c r="D348" s="1"/>
      <c r="E348" s="7"/>
      <c r="F348" s="7"/>
    </row>
    <row r="349" spans="1:6">
      <c r="C349" s="1"/>
      <c r="D349" s="1"/>
      <c r="E349" s="7"/>
      <c r="F349" s="7"/>
    </row>
    <row r="350" spans="1:6">
      <c r="C350" s="1"/>
      <c r="D350" s="1"/>
      <c r="E350" s="7"/>
      <c r="F350" s="7"/>
    </row>
    <row r="351" spans="1:6">
      <c r="C351" s="1"/>
      <c r="D351" s="1"/>
      <c r="E351" s="7"/>
      <c r="F351" s="7"/>
    </row>
    <row r="352" spans="1:6">
      <c r="C352" s="1"/>
      <c r="D352" s="1"/>
      <c r="E352" s="7"/>
      <c r="F352" s="7"/>
    </row>
    <row r="353" spans="1:6">
      <c r="C353" s="1"/>
      <c r="D353" s="1"/>
      <c r="E353" s="7"/>
      <c r="F353" s="7"/>
    </row>
    <row r="354" spans="1:6">
      <c r="C354" s="1"/>
      <c r="D354" s="1"/>
      <c r="E354" s="7"/>
      <c r="F354" s="7"/>
    </row>
    <row r="355" spans="1:6">
      <c r="A355" s="1"/>
      <c r="C355" s="1"/>
      <c r="D355" s="1"/>
      <c r="E355" s="7"/>
      <c r="F355" s="7"/>
    </row>
    <row r="356" spans="1:6">
      <c r="B356" s="34"/>
      <c r="C356" s="1"/>
      <c r="D356" s="1"/>
      <c r="E356" s="7"/>
      <c r="F356" s="7"/>
    </row>
    <row r="357" spans="1:6">
      <c r="C357" s="1"/>
      <c r="D357" s="1"/>
      <c r="E357" s="7"/>
      <c r="F357" s="7"/>
    </row>
    <row r="358" spans="1:6">
      <c r="C358" s="1"/>
      <c r="D358" s="1"/>
      <c r="E358" s="7"/>
      <c r="F358" s="7"/>
    </row>
    <row r="359" spans="1:6">
      <c r="C359" s="1"/>
      <c r="D359" s="1"/>
      <c r="E359" s="7"/>
      <c r="F359" s="7"/>
    </row>
    <row r="360" spans="1:6">
      <c r="C360" s="1"/>
      <c r="D360" s="1"/>
      <c r="E360" s="7"/>
      <c r="F360" s="7"/>
    </row>
    <row r="361" spans="1:6">
      <c r="C361" s="1"/>
      <c r="D361" s="1"/>
      <c r="E361" s="7"/>
      <c r="F361" s="7"/>
    </row>
    <row r="362" spans="1:6">
      <c r="C362" s="1"/>
      <c r="D362" s="1"/>
      <c r="E362" s="7"/>
      <c r="F362" s="7"/>
    </row>
    <row r="363" spans="1:6">
      <c r="C363" s="1"/>
      <c r="D363" s="1"/>
      <c r="E363" s="7"/>
      <c r="F363" s="7"/>
    </row>
    <row r="364" spans="1:6">
      <c r="C364" s="1"/>
      <c r="D364" s="1"/>
      <c r="E364" s="7"/>
      <c r="F364" s="7"/>
    </row>
    <row r="365" spans="1:6">
      <c r="C365" s="1"/>
      <c r="D365" s="1"/>
      <c r="E365" s="7"/>
      <c r="F365" s="7"/>
    </row>
    <row r="366" spans="1:6">
      <c r="C366" s="1"/>
      <c r="D366" s="1"/>
      <c r="E366" s="7"/>
      <c r="F366" s="7"/>
    </row>
    <row r="367" spans="1:6">
      <c r="A367" s="1"/>
      <c r="C367" s="1"/>
      <c r="D367" s="1"/>
      <c r="E367" s="7"/>
      <c r="F367" s="7"/>
    </row>
    <row r="368" spans="1:6">
      <c r="B368" s="34"/>
      <c r="C368" s="1"/>
      <c r="D368" s="1"/>
      <c r="E368" s="7"/>
      <c r="F368" s="7"/>
    </row>
    <row r="369" spans="1:6">
      <c r="C369" s="1"/>
      <c r="D369" s="1"/>
      <c r="E369" s="7"/>
      <c r="F369" s="7"/>
    </row>
    <row r="370" spans="1:6">
      <c r="C370" s="1"/>
      <c r="D370" s="1"/>
      <c r="E370" s="7"/>
      <c r="F370" s="7"/>
    </row>
    <row r="371" spans="1:6">
      <c r="C371" s="1"/>
      <c r="D371" s="1"/>
      <c r="E371" s="7"/>
      <c r="F371" s="7"/>
    </row>
    <row r="372" spans="1:6">
      <c r="C372" s="1"/>
      <c r="D372" s="1"/>
      <c r="E372" s="7"/>
      <c r="F372" s="7"/>
    </row>
    <row r="373" spans="1:6">
      <c r="C373" s="1"/>
      <c r="D373" s="1"/>
      <c r="E373" s="7"/>
      <c r="F373" s="7"/>
    </row>
    <row r="374" spans="1:6">
      <c r="C374" s="1"/>
      <c r="D374" s="1"/>
      <c r="E374" s="7"/>
      <c r="F374" s="7"/>
    </row>
    <row r="375" spans="1:6">
      <c r="C375" s="1"/>
      <c r="D375" s="1"/>
      <c r="E375" s="7"/>
      <c r="F375" s="7"/>
    </row>
    <row r="376" spans="1:6">
      <c r="C376" s="1"/>
      <c r="D376" s="1"/>
      <c r="E376" s="7"/>
      <c r="F376" s="7"/>
    </row>
    <row r="377" spans="1:6">
      <c r="C377" s="1"/>
      <c r="D377" s="1"/>
      <c r="E377" s="7"/>
      <c r="F377" s="7"/>
    </row>
    <row r="378" spans="1:6">
      <c r="C378" s="1"/>
      <c r="D378" s="1"/>
      <c r="E378" s="7"/>
      <c r="F378" s="7"/>
    </row>
    <row r="379" spans="1:6">
      <c r="A379" s="1"/>
      <c r="C379" s="1"/>
      <c r="D379" s="1"/>
      <c r="E379" s="7"/>
      <c r="F379" s="7"/>
    </row>
    <row r="380" spans="1:6">
      <c r="B380" s="34"/>
      <c r="C380" s="1"/>
      <c r="D380" s="1"/>
      <c r="E380" s="7"/>
      <c r="F380" s="7"/>
    </row>
    <row r="381" spans="1:6">
      <c r="C381" s="1"/>
      <c r="D381" s="1"/>
      <c r="E381" s="7"/>
      <c r="F381" s="7"/>
    </row>
    <row r="382" spans="1:6">
      <c r="C382" s="1"/>
      <c r="D382" s="1"/>
      <c r="E382" s="7"/>
      <c r="F382" s="7"/>
    </row>
    <row r="383" spans="1:6">
      <c r="C383" s="1"/>
      <c r="D383" s="1"/>
      <c r="E383" s="7"/>
      <c r="F383" s="7"/>
    </row>
    <row r="384" spans="1:6">
      <c r="C384" s="1"/>
      <c r="D384" s="1"/>
      <c r="E384" s="7"/>
      <c r="F384" s="7"/>
    </row>
    <row r="385" spans="1:6">
      <c r="C385" s="1"/>
      <c r="D385" s="1"/>
      <c r="E385" s="7"/>
      <c r="F385" s="7"/>
    </row>
    <row r="386" spans="1:6">
      <c r="C386" s="1"/>
      <c r="D386" s="1"/>
      <c r="E386" s="7"/>
      <c r="F386" s="7"/>
    </row>
    <row r="387" spans="1:6">
      <c r="C387" s="1"/>
      <c r="D387" s="1"/>
      <c r="E387" s="7"/>
      <c r="F387" s="7"/>
    </row>
    <row r="388" spans="1:6">
      <c r="C388" s="1"/>
      <c r="D388" s="1"/>
      <c r="E388" s="7"/>
      <c r="F388" s="7"/>
    </row>
    <row r="389" spans="1:6">
      <c r="C389" s="1"/>
      <c r="D389" s="1"/>
      <c r="E389" s="7"/>
      <c r="F389" s="7"/>
    </row>
    <row r="390" spans="1:6">
      <c r="C390" s="1"/>
      <c r="D390" s="1"/>
      <c r="E390" s="7"/>
      <c r="F390" s="7"/>
    </row>
    <row r="391" spans="1:6">
      <c r="A391" s="1"/>
      <c r="C391" s="1"/>
      <c r="D391" s="1"/>
      <c r="E391" s="7"/>
      <c r="F391" s="7"/>
    </row>
    <row r="392" spans="1:6">
      <c r="B392" s="34"/>
      <c r="C392" s="1"/>
      <c r="D392" s="1"/>
      <c r="E392" s="7"/>
      <c r="F392" s="7"/>
    </row>
    <row r="393" spans="1:6">
      <c r="C393" s="1"/>
      <c r="D393" s="1"/>
      <c r="E393" s="7"/>
      <c r="F393" s="7"/>
    </row>
    <row r="394" spans="1:6">
      <c r="C394" s="1"/>
      <c r="D394" s="1"/>
      <c r="E394" s="7"/>
      <c r="F394" s="7"/>
    </row>
    <row r="395" spans="1:6">
      <c r="C395" s="1"/>
      <c r="D395" s="1"/>
      <c r="E395" s="7"/>
      <c r="F395" s="7"/>
    </row>
    <row r="396" spans="1:6">
      <c r="C396" s="1"/>
      <c r="D396" s="1"/>
      <c r="E396" s="7"/>
      <c r="F396" s="7"/>
    </row>
    <row r="397" spans="1:6">
      <c r="C397" s="1"/>
      <c r="D397" s="1"/>
      <c r="E397" s="7"/>
      <c r="F397" s="7"/>
    </row>
    <row r="398" spans="1:6">
      <c r="C398" s="1"/>
      <c r="D398" s="1"/>
      <c r="E398" s="7"/>
      <c r="F398" s="7"/>
    </row>
    <row r="399" spans="1:6">
      <c r="C399" s="1"/>
      <c r="D399" s="1"/>
      <c r="E399" s="7"/>
      <c r="F399" s="7"/>
    </row>
    <row r="400" spans="1:6">
      <c r="C400" s="1"/>
      <c r="D400" s="1"/>
      <c r="E400" s="7"/>
      <c r="F400" s="7"/>
    </row>
    <row r="401" spans="1:6">
      <c r="C401" s="1"/>
      <c r="D401" s="1"/>
      <c r="E401" s="7"/>
      <c r="F401" s="7"/>
    </row>
    <row r="402" spans="1:6">
      <c r="C402" s="1"/>
      <c r="D402" s="1"/>
      <c r="E402" s="7"/>
      <c r="F402" s="7"/>
    </row>
    <row r="403" spans="1:6">
      <c r="A403" s="1"/>
      <c r="C403" s="1"/>
      <c r="D403" s="1"/>
      <c r="E403" s="7"/>
      <c r="F403" s="7"/>
    </row>
    <row r="404" spans="1:6">
      <c r="B404" s="34"/>
      <c r="C404" s="1"/>
      <c r="D404" s="1"/>
      <c r="E404" s="7"/>
      <c r="F404" s="7"/>
    </row>
    <row r="405" spans="1:6">
      <c r="C405" s="1"/>
      <c r="D405" s="1"/>
      <c r="E405" s="7"/>
      <c r="F405" s="7"/>
    </row>
    <row r="406" spans="1:6">
      <c r="C406" s="1"/>
      <c r="D406" s="1"/>
      <c r="E406" s="7"/>
      <c r="F406" s="7"/>
    </row>
    <row r="407" spans="1:6">
      <c r="C407" s="1"/>
      <c r="D407" s="1"/>
      <c r="E407" s="7"/>
      <c r="F407" s="7"/>
    </row>
    <row r="408" spans="1:6">
      <c r="C408" s="1"/>
      <c r="D408" s="1"/>
      <c r="E408" s="7"/>
      <c r="F408" s="7"/>
    </row>
    <row r="409" spans="1:6">
      <c r="C409" s="1"/>
      <c r="D409" s="1"/>
      <c r="E409" s="7"/>
      <c r="F409" s="7"/>
    </row>
    <row r="410" spans="1:6">
      <c r="C410" s="1"/>
      <c r="D410" s="1"/>
      <c r="E410" s="7"/>
      <c r="F410" s="7"/>
    </row>
    <row r="411" spans="1:6">
      <c r="C411" s="1"/>
      <c r="D411" s="1"/>
      <c r="E411" s="7"/>
      <c r="F411" s="7"/>
    </row>
    <row r="412" spans="1:6">
      <c r="C412" s="1"/>
      <c r="D412" s="1"/>
      <c r="E412" s="7"/>
      <c r="F412" s="7"/>
    </row>
    <row r="413" spans="1:6">
      <c r="C413" s="1"/>
      <c r="D413" s="1"/>
      <c r="E413" s="7"/>
      <c r="F413" s="7"/>
    </row>
    <row r="414" spans="1:6">
      <c r="C414" s="1"/>
      <c r="D414" s="1"/>
      <c r="E414" s="7"/>
      <c r="F414" s="7"/>
    </row>
    <row r="415" spans="1:6">
      <c r="A415" s="1"/>
      <c r="C415" s="1"/>
      <c r="D415" s="1"/>
      <c r="E415" s="7"/>
      <c r="F415" s="7"/>
    </row>
    <row r="416" spans="1:6">
      <c r="B416" s="34"/>
      <c r="C416" s="1"/>
      <c r="D416" s="1"/>
      <c r="E416" s="7"/>
      <c r="F416" s="7"/>
    </row>
    <row r="417" spans="1:6">
      <c r="C417" s="1"/>
      <c r="D417" s="1"/>
      <c r="E417" s="7"/>
      <c r="F417" s="7"/>
    </row>
    <row r="418" spans="1:6">
      <c r="C418" s="1"/>
      <c r="D418" s="1"/>
      <c r="E418" s="7"/>
      <c r="F418" s="7"/>
    </row>
    <row r="419" spans="1:6">
      <c r="C419" s="1"/>
      <c r="D419" s="1"/>
      <c r="E419" s="7"/>
      <c r="F419" s="7"/>
    </row>
    <row r="420" spans="1:6">
      <c r="C420" s="1"/>
      <c r="D420" s="1"/>
      <c r="E420" s="7"/>
      <c r="F420" s="7"/>
    </row>
    <row r="421" spans="1:6">
      <c r="C421" s="1"/>
      <c r="D421" s="1"/>
      <c r="E421" s="7"/>
      <c r="F421" s="7"/>
    </row>
    <row r="422" spans="1:6">
      <c r="C422" s="1"/>
      <c r="D422" s="1"/>
      <c r="E422" s="7"/>
      <c r="F422" s="7"/>
    </row>
    <row r="423" spans="1:6">
      <c r="C423" s="1"/>
      <c r="D423" s="1"/>
      <c r="E423" s="7"/>
      <c r="F423" s="7"/>
    </row>
    <row r="424" spans="1:6">
      <c r="C424" s="1"/>
      <c r="D424" s="1"/>
      <c r="E424" s="7"/>
      <c r="F424" s="7"/>
    </row>
    <row r="425" spans="1:6">
      <c r="C425" s="1"/>
      <c r="D425" s="1"/>
      <c r="E425" s="7"/>
      <c r="F425" s="7"/>
    </row>
    <row r="426" spans="1:6">
      <c r="C426" s="1"/>
      <c r="D426" s="1"/>
      <c r="E426" s="7"/>
      <c r="F426" s="7"/>
    </row>
    <row r="427" spans="1:6">
      <c r="A427" s="1"/>
      <c r="C427" s="1"/>
      <c r="D427" s="1"/>
      <c r="E427" s="7"/>
      <c r="F427" s="7"/>
    </row>
    <row r="428" spans="1:6">
      <c r="B428" s="34"/>
      <c r="C428" s="1"/>
      <c r="D428" s="1"/>
      <c r="E428" s="7"/>
      <c r="F428" s="7"/>
    </row>
    <row r="429" spans="1:6">
      <c r="C429" s="1"/>
      <c r="D429" s="1"/>
      <c r="E429" s="7"/>
      <c r="F429" s="7"/>
    </row>
    <row r="430" spans="1:6">
      <c r="C430" s="1"/>
      <c r="D430" s="1"/>
      <c r="E430" s="7"/>
      <c r="F430" s="7"/>
    </row>
    <row r="431" spans="1:6">
      <c r="C431" s="1"/>
      <c r="D431" s="1"/>
      <c r="E431" s="7"/>
      <c r="F431" s="7"/>
    </row>
    <row r="432" spans="1:6">
      <c r="C432" s="1"/>
      <c r="D432" s="1"/>
      <c r="E432" s="7"/>
      <c r="F432" s="7"/>
    </row>
    <row r="433" spans="1:6">
      <c r="C433" s="1"/>
      <c r="D433" s="1"/>
      <c r="E433" s="7"/>
      <c r="F433" s="7"/>
    </row>
    <row r="434" spans="1:6">
      <c r="C434" s="1"/>
      <c r="D434" s="1"/>
      <c r="E434" s="7"/>
      <c r="F434" s="7"/>
    </row>
    <row r="435" spans="1:6">
      <c r="C435" s="1"/>
      <c r="D435" s="1"/>
      <c r="E435" s="7"/>
      <c r="F435" s="7"/>
    </row>
    <row r="436" spans="1:6">
      <c r="C436" s="1"/>
      <c r="D436" s="1"/>
      <c r="E436" s="7"/>
      <c r="F436" s="7"/>
    </row>
    <row r="437" spans="1:6">
      <c r="C437" s="1"/>
      <c r="D437" s="1"/>
      <c r="E437" s="7"/>
      <c r="F437" s="7"/>
    </row>
    <row r="438" spans="1:6">
      <c r="C438" s="1"/>
      <c r="D438" s="1"/>
      <c r="E438" s="7"/>
      <c r="F438" s="7"/>
    </row>
    <row r="439" spans="1:6">
      <c r="A439" s="1"/>
      <c r="C439" s="1"/>
      <c r="D439" s="1"/>
      <c r="E439" s="7"/>
      <c r="F439" s="7"/>
    </row>
    <row r="440" spans="1:6">
      <c r="B440" s="34"/>
      <c r="C440" s="1"/>
      <c r="D440" s="1"/>
      <c r="E440" s="7"/>
      <c r="F440" s="7"/>
    </row>
    <row r="441" spans="1:6">
      <c r="C441" s="1"/>
      <c r="D441" s="1"/>
      <c r="E441" s="7"/>
      <c r="F441" s="7"/>
    </row>
    <row r="442" spans="1:6">
      <c r="C442" s="1"/>
      <c r="D442" s="1"/>
      <c r="E442" s="7"/>
      <c r="F442" s="7"/>
    </row>
    <row r="443" spans="1:6">
      <c r="C443" s="1"/>
      <c r="D443" s="1"/>
      <c r="E443" s="7"/>
      <c r="F443" s="7"/>
    </row>
    <row r="444" spans="1:6">
      <c r="C444" s="1"/>
      <c r="D444" s="1"/>
      <c r="E444" s="7"/>
      <c r="F444" s="7"/>
    </row>
    <row r="445" spans="1:6">
      <c r="C445" s="1"/>
      <c r="D445" s="1"/>
      <c r="E445" s="7"/>
      <c r="F445" s="7"/>
    </row>
    <row r="446" spans="1:6">
      <c r="C446" s="1"/>
      <c r="D446" s="1"/>
      <c r="E446" s="7"/>
      <c r="F446" s="7"/>
    </row>
    <row r="447" spans="1:6">
      <c r="C447" s="1"/>
      <c r="D447" s="1"/>
      <c r="E447" s="7"/>
      <c r="F447" s="7"/>
    </row>
    <row r="448" spans="1:6">
      <c r="C448" s="1"/>
      <c r="D448" s="1"/>
      <c r="E448" s="7"/>
      <c r="F448" s="7"/>
    </row>
    <row r="449" spans="1:6">
      <c r="C449" s="1"/>
      <c r="D449" s="1"/>
      <c r="E449" s="7"/>
      <c r="F449" s="7"/>
    </row>
    <row r="450" spans="1:6">
      <c r="C450" s="1"/>
      <c r="D450" s="1"/>
      <c r="E450" s="7"/>
      <c r="F450" s="7"/>
    </row>
    <row r="451" spans="1:6">
      <c r="A451" s="1"/>
      <c r="C451" s="1"/>
      <c r="D451" s="1"/>
      <c r="E451" s="7"/>
      <c r="F451" s="7"/>
    </row>
    <row r="452" spans="1:6">
      <c r="B452" s="34"/>
      <c r="C452" s="1"/>
      <c r="D452" s="1"/>
      <c r="E452" s="7"/>
      <c r="F452" s="7"/>
    </row>
    <row r="453" spans="1:6">
      <c r="C453" s="1"/>
      <c r="D453" s="1"/>
      <c r="E453" s="7"/>
      <c r="F453" s="7"/>
    </row>
    <row r="454" spans="1:6">
      <c r="C454" s="1"/>
      <c r="D454" s="1"/>
      <c r="E454" s="7"/>
      <c r="F454" s="7"/>
    </row>
    <row r="455" spans="1:6">
      <c r="C455" s="1"/>
      <c r="D455" s="1"/>
      <c r="E455" s="7"/>
      <c r="F455" s="7"/>
    </row>
    <row r="456" spans="1:6">
      <c r="C456" s="1"/>
      <c r="D456" s="1"/>
      <c r="E456" s="7"/>
      <c r="F456" s="7"/>
    </row>
    <row r="457" spans="1:6">
      <c r="C457" s="1"/>
      <c r="D457" s="1"/>
      <c r="E457" s="7"/>
      <c r="F457" s="7"/>
    </row>
    <row r="458" spans="1:6">
      <c r="C458" s="1"/>
      <c r="D458" s="1"/>
      <c r="E458" s="7"/>
      <c r="F458" s="7"/>
    </row>
    <row r="459" spans="1:6">
      <c r="C459" s="1"/>
      <c r="D459" s="1"/>
      <c r="E459" s="7"/>
      <c r="F459" s="7"/>
    </row>
    <row r="460" spans="1:6">
      <c r="C460" s="1"/>
      <c r="D460" s="1"/>
      <c r="E460" s="7"/>
      <c r="F460" s="7"/>
    </row>
    <row r="461" spans="1:6">
      <c r="C461" s="1"/>
      <c r="D461" s="1"/>
      <c r="E461" s="7"/>
      <c r="F461" s="7"/>
    </row>
    <row r="462" spans="1:6">
      <c r="C462" s="1"/>
      <c r="D462" s="1"/>
      <c r="E462" s="7"/>
      <c r="F462" s="7"/>
    </row>
    <row r="463" spans="1:6">
      <c r="A463" s="1"/>
      <c r="C463" s="1"/>
      <c r="D463" s="1"/>
      <c r="E463" s="7"/>
      <c r="F463" s="7"/>
    </row>
    <row r="464" spans="1:6">
      <c r="B464" s="34"/>
      <c r="C464" s="1"/>
      <c r="D464" s="1"/>
      <c r="E464" s="7"/>
      <c r="F464" s="7"/>
    </row>
    <row r="465" spans="1:6">
      <c r="C465" s="1"/>
      <c r="D465" s="1"/>
      <c r="E465" s="7"/>
      <c r="F465" s="7"/>
    </row>
    <row r="466" spans="1:6">
      <c r="C466" s="1"/>
      <c r="D466" s="1"/>
      <c r="E466" s="7"/>
      <c r="F466" s="7"/>
    </row>
    <row r="467" spans="1:6">
      <c r="C467" s="1"/>
      <c r="D467" s="1"/>
      <c r="E467" s="7"/>
      <c r="F467" s="7"/>
    </row>
    <row r="468" spans="1:6">
      <c r="C468" s="1"/>
      <c r="D468" s="1"/>
      <c r="E468" s="7"/>
      <c r="F468" s="7"/>
    </row>
    <row r="469" spans="1:6">
      <c r="C469" s="1"/>
      <c r="D469" s="1"/>
      <c r="E469" s="7"/>
      <c r="F469" s="7"/>
    </row>
    <row r="470" spans="1:6">
      <c r="C470" s="1"/>
      <c r="D470" s="1"/>
      <c r="E470" s="7"/>
      <c r="F470" s="7"/>
    </row>
    <row r="471" spans="1:6">
      <c r="C471" s="1"/>
      <c r="D471" s="1"/>
      <c r="E471" s="7"/>
      <c r="F471" s="7"/>
    </row>
    <row r="472" spans="1:6">
      <c r="C472" s="1"/>
      <c r="D472" s="1"/>
      <c r="E472" s="7"/>
      <c r="F472" s="7"/>
    </row>
    <row r="473" spans="1:6">
      <c r="C473" s="1"/>
      <c r="D473" s="1"/>
      <c r="E473" s="7"/>
      <c r="F473" s="7"/>
    </row>
    <row r="474" spans="1:6">
      <c r="C474" s="1"/>
      <c r="D474" s="1"/>
      <c r="E474" s="7"/>
      <c r="F474" s="7"/>
    </row>
    <row r="475" spans="1:6">
      <c r="A475" s="1"/>
      <c r="C475" s="1"/>
      <c r="D475" s="1"/>
      <c r="E475" s="7"/>
      <c r="F475" s="7"/>
    </row>
    <row r="476" spans="1:6">
      <c r="B476" s="34"/>
      <c r="C476" s="1"/>
      <c r="D476" s="1"/>
      <c r="E476" s="7"/>
      <c r="F476" s="7"/>
    </row>
    <row r="477" spans="1:6">
      <c r="C477" s="1"/>
      <c r="D477" s="1"/>
      <c r="E477" s="7"/>
      <c r="F477" s="7"/>
    </row>
    <row r="478" spans="1:6">
      <c r="C478" s="1"/>
      <c r="D478" s="1"/>
      <c r="E478" s="7"/>
      <c r="F478" s="7"/>
    </row>
    <row r="479" spans="1:6">
      <c r="C479" s="1"/>
      <c r="D479" s="1"/>
      <c r="E479" s="7"/>
      <c r="F479" s="7"/>
    </row>
    <row r="480" spans="1:6">
      <c r="C480" s="1"/>
      <c r="D480" s="1"/>
      <c r="E480" s="7"/>
      <c r="F480" s="7"/>
    </row>
    <row r="481" spans="1:6">
      <c r="C481" s="1"/>
      <c r="D481" s="1"/>
      <c r="E481" s="7"/>
      <c r="F481" s="7"/>
    </row>
    <row r="482" spans="1:6">
      <c r="C482" s="1"/>
      <c r="D482" s="1"/>
      <c r="E482" s="7"/>
      <c r="F482" s="7"/>
    </row>
    <row r="483" spans="1:6">
      <c r="C483" s="1"/>
      <c r="D483" s="1"/>
      <c r="E483" s="7"/>
      <c r="F483" s="7"/>
    </row>
    <row r="484" spans="1:6">
      <c r="C484" s="1"/>
      <c r="D484" s="1"/>
      <c r="E484" s="7"/>
      <c r="F484" s="7"/>
    </row>
    <row r="485" spans="1:6">
      <c r="C485" s="1"/>
      <c r="D485" s="1"/>
      <c r="E485" s="7"/>
      <c r="F485" s="7"/>
    </row>
    <row r="486" spans="1:6">
      <c r="C486" s="1"/>
      <c r="D486" s="1"/>
      <c r="E486" s="7"/>
      <c r="F486" s="7"/>
    </row>
    <row r="487" spans="1:6">
      <c r="A487" s="1"/>
      <c r="C487" s="1"/>
      <c r="D487" s="1"/>
      <c r="E487" s="7"/>
      <c r="F487" s="7"/>
    </row>
    <row r="488" spans="1:6">
      <c r="B488" s="34"/>
      <c r="C488" s="1"/>
      <c r="D488" s="1"/>
      <c r="E488" s="7"/>
      <c r="F488" s="7"/>
    </row>
    <row r="489" spans="1:6">
      <c r="C489" s="1"/>
      <c r="D489" s="1"/>
      <c r="E489" s="7"/>
      <c r="F489" s="7"/>
    </row>
    <row r="490" spans="1:6">
      <c r="C490" s="1"/>
      <c r="D490" s="1"/>
      <c r="E490" s="7"/>
      <c r="F490" s="7"/>
    </row>
    <row r="491" spans="1:6">
      <c r="C491" s="1"/>
      <c r="D491" s="1"/>
      <c r="E491" s="7"/>
      <c r="F491" s="7"/>
    </row>
    <row r="492" spans="1:6">
      <c r="C492" s="1"/>
      <c r="D492" s="1"/>
      <c r="E492" s="7"/>
      <c r="F492" s="7"/>
    </row>
    <row r="493" spans="1:6">
      <c r="C493" s="1"/>
      <c r="D493" s="1"/>
      <c r="E493" s="7"/>
      <c r="F493" s="7"/>
    </row>
    <row r="494" spans="1:6">
      <c r="C494" s="1"/>
      <c r="D494" s="1"/>
      <c r="E494" s="7"/>
      <c r="F494" s="7"/>
    </row>
    <row r="495" spans="1:6">
      <c r="C495" s="1"/>
      <c r="D495" s="1"/>
      <c r="E495" s="7"/>
      <c r="F495" s="7"/>
    </row>
    <row r="496" spans="1:6">
      <c r="C496" s="1"/>
      <c r="D496" s="1"/>
      <c r="E496" s="7"/>
      <c r="F496" s="7"/>
    </row>
    <row r="497" spans="1:6">
      <c r="C497" s="1"/>
      <c r="D497" s="1"/>
      <c r="E497" s="7"/>
      <c r="F497" s="7"/>
    </row>
    <row r="498" spans="1:6">
      <c r="C498" s="1"/>
      <c r="D498" s="1"/>
      <c r="E498" s="7"/>
      <c r="F498" s="7"/>
    </row>
    <row r="499" spans="1:6">
      <c r="A499" s="1"/>
      <c r="C499" s="1"/>
      <c r="D499" s="1"/>
      <c r="E499" s="7"/>
      <c r="F499" s="7"/>
    </row>
    <row r="500" spans="1:6">
      <c r="B500" s="34"/>
      <c r="C500" s="1"/>
      <c r="D500" s="1"/>
      <c r="E500" s="7"/>
      <c r="F500" s="7"/>
    </row>
    <row r="501" spans="1:6">
      <c r="C501" s="1"/>
      <c r="D501" s="1"/>
      <c r="E501" s="7"/>
      <c r="F501" s="7"/>
    </row>
    <row r="502" spans="1:6">
      <c r="C502" s="1"/>
      <c r="D502" s="1"/>
      <c r="E502" s="7"/>
      <c r="F502" s="7"/>
    </row>
    <row r="503" spans="1:6">
      <c r="C503" s="1"/>
      <c r="D503" s="1"/>
      <c r="E503" s="7"/>
      <c r="F503" s="7"/>
    </row>
    <row r="504" spans="1:6">
      <c r="C504" s="1"/>
      <c r="D504" s="1"/>
      <c r="E504" s="7"/>
      <c r="F504" s="7"/>
    </row>
    <row r="505" spans="1:6">
      <c r="C505" s="1"/>
      <c r="D505" s="1"/>
      <c r="E505" s="7"/>
      <c r="F505" s="7"/>
    </row>
    <row r="506" spans="1:6">
      <c r="C506" s="1"/>
      <c r="D506" s="1"/>
      <c r="E506" s="7"/>
      <c r="F506" s="7"/>
    </row>
    <row r="507" spans="1:6">
      <c r="C507" s="1"/>
      <c r="D507" s="1"/>
      <c r="E507" s="7"/>
      <c r="F507" s="7"/>
    </row>
    <row r="508" spans="1:6">
      <c r="C508" s="1"/>
      <c r="D508" s="1"/>
      <c r="E508" s="7"/>
      <c r="F508" s="7"/>
    </row>
    <row r="509" spans="1:6">
      <c r="C509" s="1"/>
      <c r="D509" s="1"/>
      <c r="E509" s="7"/>
      <c r="F509" s="7"/>
    </row>
    <row r="510" spans="1:6">
      <c r="C510" s="1"/>
      <c r="D510" s="1"/>
      <c r="E510" s="7"/>
      <c r="F510" s="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3"/>
  <sheetViews>
    <sheetView workbookViewId="0">
      <selection activeCell="C8" sqref="C8"/>
    </sheetView>
  </sheetViews>
  <sheetFormatPr defaultColWidth="12.5703125" defaultRowHeight="15.75" customHeight="1"/>
  <sheetData>
    <row r="1" spans="1:28" ht="12.75">
      <c r="C1" s="12"/>
      <c r="D1" s="49">
        <v>2022</v>
      </c>
      <c r="E1" s="428"/>
      <c r="F1" s="263"/>
      <c r="G1" s="263"/>
      <c r="H1" s="263"/>
      <c r="I1" s="263"/>
      <c r="J1" s="263"/>
      <c r="K1" s="263"/>
      <c r="L1" s="263"/>
      <c r="M1" s="263"/>
      <c r="N1" s="263"/>
      <c r="O1" s="264"/>
      <c r="P1" s="429"/>
      <c r="Q1" s="49">
        <v>2023</v>
      </c>
      <c r="R1" s="428"/>
      <c r="S1" s="263"/>
      <c r="T1" s="263"/>
      <c r="U1" s="263"/>
      <c r="V1" s="263"/>
      <c r="W1" s="263"/>
      <c r="X1" s="263"/>
      <c r="Y1" s="263"/>
      <c r="Z1" s="263"/>
      <c r="AA1" s="263"/>
      <c r="AB1" s="264"/>
    </row>
    <row r="2" spans="1:28" ht="12.75">
      <c r="B2" s="50" t="s">
        <v>177</v>
      </c>
      <c r="C2" s="107" t="s">
        <v>202</v>
      </c>
      <c r="D2" s="107" t="s">
        <v>178</v>
      </c>
      <c r="E2" s="107" t="s">
        <v>203</v>
      </c>
      <c r="F2" s="107" t="s">
        <v>204</v>
      </c>
      <c r="G2" s="107" t="s">
        <v>179</v>
      </c>
      <c r="H2" s="107" t="s">
        <v>205</v>
      </c>
      <c r="I2" s="107" t="s">
        <v>206</v>
      </c>
      <c r="J2" s="107" t="s">
        <v>180</v>
      </c>
      <c r="K2" s="107" t="s">
        <v>207</v>
      </c>
      <c r="L2" s="107" t="s">
        <v>208</v>
      </c>
      <c r="M2" s="107" t="s">
        <v>181</v>
      </c>
      <c r="N2" s="107" t="s">
        <v>209</v>
      </c>
      <c r="O2" s="265" t="s">
        <v>182</v>
      </c>
      <c r="P2" s="107" t="s">
        <v>202</v>
      </c>
      <c r="Q2" s="107" t="s">
        <v>178</v>
      </c>
      <c r="R2" s="107" t="s">
        <v>203</v>
      </c>
      <c r="S2" s="107" t="s">
        <v>204</v>
      </c>
      <c r="T2" s="107" t="s">
        <v>179</v>
      </c>
      <c r="U2" s="107" t="s">
        <v>205</v>
      </c>
      <c r="V2" s="107" t="s">
        <v>206</v>
      </c>
      <c r="W2" s="107" t="s">
        <v>180</v>
      </c>
      <c r="X2" s="107" t="s">
        <v>207</v>
      </c>
      <c r="Y2" s="107" t="s">
        <v>208</v>
      </c>
      <c r="Z2" s="107" t="s">
        <v>181</v>
      </c>
      <c r="AA2" s="107" t="s">
        <v>209</v>
      </c>
      <c r="AB2" s="265" t="s">
        <v>182</v>
      </c>
    </row>
    <row r="3" spans="1:28" ht="15.75" customHeight="1">
      <c r="A3" s="108" t="str">
        <f>Divident_all!B3</f>
        <v>AMD</v>
      </c>
      <c r="B3" s="430">
        <f t="shared" ref="B3" si="0">O3+AB3</f>
        <v>128.97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  <c r="H3" s="110">
        <v>0</v>
      </c>
      <c r="I3" s="110">
        <f>(0.20357+0.20485+0.20606)/3</f>
        <v>0.20482666666666668</v>
      </c>
      <c r="J3" s="107">
        <f>9.99+15+9.99</f>
        <v>34.980000000000004</v>
      </c>
      <c r="K3" s="110">
        <f>(30.78+32.82+31.19)/3</f>
        <v>31.596666666666668</v>
      </c>
      <c r="L3" s="109">
        <f>(0.21074+0.21481)/2</f>
        <v>0.21277499999999999</v>
      </c>
      <c r="M3" s="431">
        <f>29.99+24</f>
        <v>53.989999999999995</v>
      </c>
      <c r="N3" s="109">
        <f>(26.84+28.21)/2</f>
        <v>27.524999999999999</v>
      </c>
      <c r="O3" s="432">
        <f t="shared" ref="O3" si="1">SUM(D3,G3,J3,M3)</f>
        <v>88.97</v>
      </c>
      <c r="P3" s="433">
        <v>0.21440999999999999</v>
      </c>
      <c r="Q3" s="429">
        <v>40</v>
      </c>
      <c r="R3" s="433">
        <v>23.32</v>
      </c>
      <c r="S3" s="433"/>
      <c r="T3" s="107"/>
      <c r="U3" s="110"/>
      <c r="V3" s="110"/>
      <c r="W3" s="110"/>
      <c r="X3" s="110"/>
      <c r="Y3" s="110"/>
      <c r="Z3" s="110"/>
      <c r="AA3" s="109"/>
      <c r="AB3" s="432">
        <f t="shared" ref="AB3" si="2">SUM(Q3,T3,W3,Z3)</f>
        <v>40</v>
      </c>
    </row>
  </sheetData>
  <conditionalFormatting sqref="C3:AB3">
    <cfRule type="containsBlanks" dxfId="6" priority="1">
      <formula>LEN(TRIM(C3))=0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W100"/>
  <sheetViews>
    <sheetView workbookViewId="0"/>
  </sheetViews>
  <sheetFormatPr defaultColWidth="12.5703125" defaultRowHeight="15.75" customHeight="1"/>
  <sheetData>
    <row r="1" spans="1:49" ht="12.75">
      <c r="A1" s="434">
        <v>2023</v>
      </c>
      <c r="B1" s="435">
        <f ca="1">SUM(D35,H35,L35,P35,T35,X35,AB35,AF35,AJ35,AN35,AR35,AV35)</f>
        <v>265.53610112142502</v>
      </c>
      <c r="C1" s="436">
        <f>SUM(D33,H33,L33,P33,T33,X33,AB33,AF33,AJ33,AN33,AR33,AV33)</f>
        <v>64.790000000000006</v>
      </c>
      <c r="E1" s="437">
        <f>(Divident_all!B2)</f>
        <v>0</v>
      </c>
    </row>
    <row r="2" spans="1:49" ht="12.75">
      <c r="A2" s="438" t="s">
        <v>16</v>
      </c>
      <c r="B2" s="55" t="s">
        <v>178</v>
      </c>
      <c r="C2" s="263"/>
      <c r="D2" s="264"/>
      <c r="E2" s="438" t="s">
        <v>17</v>
      </c>
      <c r="F2" s="55" t="s">
        <v>178</v>
      </c>
      <c r="G2" s="263"/>
      <c r="H2" s="264"/>
      <c r="I2" s="438" t="s">
        <v>18</v>
      </c>
      <c r="J2" s="55" t="s">
        <v>178</v>
      </c>
      <c r="K2" s="263"/>
      <c r="L2" s="264"/>
      <c r="M2" s="438" t="s">
        <v>19</v>
      </c>
      <c r="N2" s="55" t="s">
        <v>179</v>
      </c>
      <c r="O2" s="263"/>
      <c r="P2" s="264"/>
      <c r="Q2" s="438" t="s">
        <v>33</v>
      </c>
      <c r="R2" s="55" t="s">
        <v>179</v>
      </c>
      <c r="S2" s="263"/>
      <c r="T2" s="264"/>
      <c r="U2" s="438" t="s">
        <v>21</v>
      </c>
      <c r="V2" s="55" t="s">
        <v>179</v>
      </c>
      <c r="W2" s="263"/>
      <c r="X2" s="264"/>
      <c r="Y2" s="438" t="s">
        <v>22</v>
      </c>
      <c r="Z2" s="55" t="s">
        <v>180</v>
      </c>
      <c r="AA2" s="263"/>
      <c r="AB2" s="264"/>
      <c r="AC2" s="439" t="s">
        <v>11</v>
      </c>
      <c r="AD2" s="440" t="s">
        <v>180</v>
      </c>
      <c r="AE2" s="441"/>
      <c r="AF2" s="442"/>
      <c r="AG2" s="439" t="s">
        <v>12</v>
      </c>
      <c r="AH2" s="440" t="s">
        <v>180</v>
      </c>
      <c r="AI2" s="441"/>
      <c r="AJ2" s="442"/>
      <c r="AK2" s="439" t="s">
        <v>13</v>
      </c>
      <c r="AL2" s="440" t="s">
        <v>181</v>
      </c>
      <c r="AM2" s="441"/>
      <c r="AN2" s="442"/>
      <c r="AO2" s="439" t="s">
        <v>14</v>
      </c>
      <c r="AP2" s="440" t="s">
        <v>181</v>
      </c>
      <c r="AQ2" s="441"/>
      <c r="AR2" s="442"/>
      <c r="AS2" s="439" t="s">
        <v>15</v>
      </c>
      <c r="AT2" s="440" t="s">
        <v>181</v>
      </c>
      <c r="AU2" s="441"/>
      <c r="AV2" s="442"/>
      <c r="AW2" s="172"/>
    </row>
    <row r="3" spans="1:49" ht="12.75">
      <c r="A3" s="443" t="s">
        <v>40</v>
      </c>
      <c r="B3" s="444" t="s">
        <v>210</v>
      </c>
      <c r="C3" s="444" t="s">
        <v>126</v>
      </c>
      <c r="D3" s="52"/>
      <c r="E3" s="443" t="s">
        <v>40</v>
      </c>
      <c r="F3" s="443" t="s">
        <v>210</v>
      </c>
      <c r="G3" s="444" t="s">
        <v>126</v>
      </c>
      <c r="H3" s="52"/>
      <c r="I3" s="443" t="s">
        <v>40</v>
      </c>
      <c r="J3" s="443" t="s">
        <v>210</v>
      </c>
      <c r="K3" s="444" t="s">
        <v>126</v>
      </c>
      <c r="L3" s="52"/>
      <c r="M3" s="443" t="s">
        <v>40</v>
      </c>
      <c r="N3" s="443" t="s">
        <v>210</v>
      </c>
      <c r="O3" s="444" t="s">
        <v>126</v>
      </c>
      <c r="P3" s="52"/>
      <c r="Q3" s="443" t="s">
        <v>40</v>
      </c>
      <c r="R3" s="443" t="s">
        <v>210</v>
      </c>
      <c r="S3" s="444" t="s">
        <v>126</v>
      </c>
      <c r="T3" s="52"/>
      <c r="U3" s="443" t="s">
        <v>40</v>
      </c>
      <c r="V3" s="443" t="s">
        <v>210</v>
      </c>
      <c r="W3" s="444" t="s">
        <v>126</v>
      </c>
      <c r="X3" s="52"/>
      <c r="Y3" s="443" t="s">
        <v>40</v>
      </c>
      <c r="Z3" s="443" t="s">
        <v>210</v>
      </c>
      <c r="AA3" s="444" t="s">
        <v>126</v>
      </c>
      <c r="AB3" s="52"/>
      <c r="AC3" s="445" t="s">
        <v>40</v>
      </c>
      <c r="AD3" s="446" t="s">
        <v>210</v>
      </c>
      <c r="AE3" s="447" t="s">
        <v>126</v>
      </c>
      <c r="AF3" s="167"/>
      <c r="AG3" s="445" t="s">
        <v>40</v>
      </c>
      <c r="AH3" s="446" t="s">
        <v>210</v>
      </c>
      <c r="AI3" s="447" t="s">
        <v>126</v>
      </c>
      <c r="AJ3" s="167"/>
      <c r="AK3" s="445" t="s">
        <v>40</v>
      </c>
      <c r="AL3" s="446" t="s">
        <v>210</v>
      </c>
      <c r="AM3" s="447" t="s">
        <v>126</v>
      </c>
      <c r="AN3" s="167"/>
      <c r="AO3" s="445" t="s">
        <v>40</v>
      </c>
      <c r="AP3" s="446" t="s">
        <v>210</v>
      </c>
      <c r="AQ3" s="447" t="s">
        <v>126</v>
      </c>
      <c r="AR3" s="167"/>
      <c r="AS3" s="445" t="s">
        <v>40</v>
      </c>
      <c r="AT3" s="446" t="s">
        <v>210</v>
      </c>
      <c r="AU3" s="447" t="s">
        <v>126</v>
      </c>
      <c r="AV3" s="167"/>
      <c r="AW3" s="172"/>
    </row>
    <row r="4" spans="1:49" ht="12.75">
      <c r="A4" s="448" t="e">
        <f>Divident_all!#REF!</f>
        <v>#REF!</v>
      </c>
      <c r="B4" s="449">
        <f ca="1">IFERROR(__xludf.DUMMYFUNCTION("Divident_all!L14*GOOGLEFINANCE (""Currency:USDRON"")"),0.43066685070486)</f>
        <v>0.43066685070485999</v>
      </c>
      <c r="C4" s="450">
        <v>0.28999999999999998</v>
      </c>
      <c r="D4" s="52"/>
      <c r="E4" s="448" t="e">
        <f>Divident_all!#REF!</f>
        <v>#REF!</v>
      </c>
      <c r="F4" s="449">
        <f ca="1">IFERROR(__xludf.DUMMYFUNCTION("Divident_all!L58*GOOGLEFINANCE (""Currency:USDRON"")"),1.1444263468812)</f>
        <v>1.1444263468811999</v>
      </c>
      <c r="G4" s="450">
        <v>0.75</v>
      </c>
      <c r="H4" s="52"/>
      <c r="I4" s="448" t="e">
        <f>Divident_all!#REF!</f>
        <v>#REF!</v>
      </c>
      <c r="J4" s="449">
        <f ca="1">IFERROR(__xludf.DUMMYFUNCTION("Divident_all!L18*GOOGLEFINANCE (""Currency:USDRON"")"),0.493642987853399)</f>
        <v>0.493642987853399</v>
      </c>
      <c r="K4" s="450">
        <v>0.31</v>
      </c>
      <c r="L4" s="52"/>
      <c r="M4" s="448" t="e">
        <f>Divident_all!#REF!</f>
        <v>#REF!</v>
      </c>
      <c r="N4" s="449">
        <f ca="1">IFERROR(__xludf.DUMMYFUNCTION("GOOGLEFINANCE (""Currency:USDRON"")*Divident_all!L9"),0.642263643612)</f>
        <v>0.64226364361199995</v>
      </c>
      <c r="O4" s="450">
        <v>0.65</v>
      </c>
      <c r="P4" s="52"/>
      <c r="Q4" s="448" t="e">
        <f>Divident_all!#REF!</f>
        <v>#REF!</v>
      </c>
      <c r="R4" s="449">
        <f ca="1">IFERROR(__xludf.DUMMYFUNCTION("GOOGLEFINANCE (""Currency:USDRON"")*Divident_all!L11"),1.1231711519976)</f>
        <v>1.1231711519976</v>
      </c>
      <c r="S4" s="450">
        <v>1.1299999999999999</v>
      </c>
      <c r="T4" s="52"/>
      <c r="U4" s="448" t="str">
        <f>Divident_all!B3</f>
        <v>AMD</v>
      </c>
      <c r="V4" s="449">
        <f ca="1">IFERROR(__xludf.DUMMYFUNCTION("Divident_all!L3*GOOGLEFINANCE (""Currency:USDRON"")"),2.53618266341249)</f>
        <v>2.53618266341249</v>
      </c>
      <c r="W4" s="449"/>
      <c r="X4" s="52"/>
      <c r="Y4" s="448" t="e">
        <f>Divident_all!#REF!</f>
        <v>#REF!</v>
      </c>
      <c r="Z4" s="449">
        <f ca="1">IFERROR(__xludf.DUMMYFUNCTION("GOOGLEFINANCE (""Currency:USDRON"")*Divident_all!L9"),0.642263643612)</f>
        <v>0.64226364361199995</v>
      </c>
      <c r="AA4" s="449"/>
      <c r="AB4" s="52"/>
      <c r="AC4" s="448" t="e">
        <f>Divident_all!#REF!</f>
        <v>#REF!</v>
      </c>
      <c r="AD4" s="449">
        <f ca="1">IFERROR(__xludf.DUMMYFUNCTION("GOOGLEFINANCE (""Currency:USDRON"")*Divident_all!L11"),1.1231711519976)</f>
        <v>1.1231711519976</v>
      </c>
      <c r="AE4" s="451"/>
      <c r="AF4" s="167"/>
      <c r="AG4" s="448" t="str">
        <f>Divident_all!B3</f>
        <v>AMD</v>
      </c>
      <c r="AH4" s="449">
        <f ca="1">IFERROR(__xludf.DUMMYFUNCTION("Divident_all!L3*GOOGLEFINANCE (""Currency:USDRON"")"),2.53618266341249)</f>
        <v>2.53618266341249</v>
      </c>
      <c r="AI4" s="451"/>
      <c r="AJ4" s="167"/>
      <c r="AK4" s="448" t="e">
        <f>Divident_all!#REF!</f>
        <v>#REF!</v>
      </c>
      <c r="AL4" s="449">
        <f ca="1">IFERROR(__xludf.DUMMYFUNCTION("GOOGLEFINANCE (""Currency:USDRON"")*Divident_all!L9"),0.642263643612)</f>
        <v>0.64226364361199995</v>
      </c>
      <c r="AM4" s="451"/>
      <c r="AN4" s="167"/>
      <c r="AO4" s="448" t="e">
        <f>Divident_all!#REF!</f>
        <v>#REF!</v>
      </c>
      <c r="AP4" s="449">
        <f ca="1">IFERROR(__xludf.DUMMYFUNCTION("GOOGLEFINANCE (""Currency:USDRON"")*Divident_all!L11"),1.1231711519976)</f>
        <v>1.1231711519976</v>
      </c>
      <c r="AQ4" s="451"/>
      <c r="AR4" s="167"/>
      <c r="AS4" s="452" t="str">
        <f>Divident_all!B3</f>
        <v>AMD</v>
      </c>
      <c r="AT4" s="453">
        <f ca="1">IFERROR(__xludf.DUMMYFUNCTION("Divident_all!L3*GOOGLEFINANCE (""Currency:USDRON"")"),2.53618266341249)</f>
        <v>2.53618266341249</v>
      </c>
      <c r="AU4" s="451"/>
      <c r="AV4" s="167"/>
      <c r="AW4" s="172"/>
    </row>
    <row r="5" spans="1:49" ht="12.75">
      <c r="A5" s="448" t="e">
        <f>Divident_all!#REF!</f>
        <v>#REF!</v>
      </c>
      <c r="B5" s="449">
        <f ca="1">IFERROR(__xludf.DUMMYFUNCTION("Divident_all!L10*GOOGLEFINANCE (""Currency:USDRON"")"),2.0661855676884)</f>
        <v>2.0661855676883998</v>
      </c>
      <c r="C5" s="450">
        <v>1.5</v>
      </c>
      <c r="D5" s="52"/>
      <c r="E5" s="448" t="e">
        <f>Divident_all!#REF!</f>
        <v>#REF!</v>
      </c>
      <c r="F5" s="449">
        <f ca="1">IFERROR(__xludf.DUMMYFUNCTION("Divident_all!L57*GOOGLEFINANCE (""Currency:USDRON"")"),1.3865127738363)</f>
        <v>1.3865127738362999</v>
      </c>
      <c r="G5" s="450">
        <v>0.93</v>
      </c>
      <c r="H5" s="52"/>
      <c r="I5" s="448" t="e">
        <f>Divident_all!#REF!</f>
        <v>#REF!</v>
      </c>
      <c r="J5" s="449">
        <f ca="1">IFERROR(__xludf.DUMMYFUNCTION("Divident_all!L51*GOOGLEFINANCE (""Currency:USDRON"")"),0.270365537962079)</f>
        <v>0.27036553796207902</v>
      </c>
      <c r="K5" s="450">
        <v>0.18</v>
      </c>
      <c r="L5" s="52"/>
      <c r="M5" s="448" t="e">
        <f>Divident_all!#REF!</f>
        <v>#REF!</v>
      </c>
      <c r="N5" s="449">
        <f ca="1">IFERROR(__xludf.DUMMYFUNCTION("GOOGLEFINANCE (""Currency:USDRON"")*Divident_all!L10"),2.0661855676884)</f>
        <v>2.0661855676883998</v>
      </c>
      <c r="O5" s="450">
        <v>2.0699999999999998</v>
      </c>
      <c r="P5" s="52"/>
      <c r="Q5" s="448" t="e">
        <f>Divident_all!#REF!</f>
        <v>#REF!</v>
      </c>
      <c r="R5" s="449">
        <f ca="1">IFERROR(__xludf.DUMMYFUNCTION("GOOGLEFINANCE (""Currency:USDRON"")*Divident_all!L15"),0.4095742368384)</f>
        <v>0.4095742368384</v>
      </c>
      <c r="S5" s="449"/>
      <c r="T5" s="52"/>
      <c r="U5" s="448" t="e">
        <f>Divident_all!#REF!</f>
        <v>#REF!</v>
      </c>
      <c r="V5" s="449">
        <f ca="1">IFERROR(__xludf.DUMMYFUNCTION("Divident_all!L4*GOOGLEFINANCE (""Currency:USDRON"")"),0.53686773912096)</f>
        <v>0.53686773912095997</v>
      </c>
      <c r="W5" s="449"/>
      <c r="X5" s="52"/>
      <c r="Y5" s="448" t="e">
        <f>Divident_all!#REF!</f>
        <v>#REF!</v>
      </c>
      <c r="Z5" s="449">
        <f ca="1">IFERROR(__xludf.DUMMYFUNCTION("GOOGLEFINANCE (""Currency:USDRON"")*Divident_all!L10"),2.0661855676884)</f>
        <v>2.0661855676883998</v>
      </c>
      <c r="AA5" s="449"/>
      <c r="AB5" s="52"/>
      <c r="AC5" s="448" t="e">
        <f>Divident_all!#REF!</f>
        <v>#REF!</v>
      </c>
      <c r="AD5" s="449">
        <f ca="1">IFERROR(__xludf.DUMMYFUNCTION("GOOGLEFINANCE (""Currency:USDRON"")*Divident_all!L15"),0.4095742368384)</f>
        <v>0.4095742368384</v>
      </c>
      <c r="AE5" s="451"/>
      <c r="AF5" s="167"/>
      <c r="AG5" s="448" t="e">
        <f>Divident_all!#REF!</f>
        <v>#REF!</v>
      </c>
      <c r="AH5" s="449">
        <f ca="1">IFERROR(__xludf.DUMMYFUNCTION("Divident_all!L4*GOOGLEFINANCE (""Currency:USDRON"")"),0.53686773912096)</f>
        <v>0.53686773912095997</v>
      </c>
      <c r="AI5" s="451"/>
      <c r="AJ5" s="167"/>
      <c r="AK5" s="448" t="e">
        <f>Divident_all!#REF!</f>
        <v>#REF!</v>
      </c>
      <c r="AL5" s="449">
        <f ca="1">IFERROR(__xludf.DUMMYFUNCTION("GOOGLEFINANCE (""Currency:USDRON"")*Divident_all!L10"),2.0661855676884)</f>
        <v>2.0661855676883998</v>
      </c>
      <c r="AM5" s="451"/>
      <c r="AN5" s="167"/>
      <c r="AO5" s="448" t="e">
        <f>Divident_all!#REF!</f>
        <v>#REF!</v>
      </c>
      <c r="AP5" s="449">
        <f ca="1">IFERROR(__xludf.DUMMYFUNCTION("GOOGLEFINANCE (""Currency:USDRON"")*Divident_all!L15"),0.4095742368384)</f>
        <v>0.4095742368384</v>
      </c>
      <c r="AQ5" s="451"/>
      <c r="AR5" s="167"/>
      <c r="AS5" s="452" t="e">
        <f>Divident_all!#REF!</f>
        <v>#REF!</v>
      </c>
      <c r="AT5" s="453">
        <f ca="1">IFERROR(__xludf.DUMMYFUNCTION("Divident_all!L4*GOOGLEFINANCE (""Currency:USDRON"")"),0.53686773912096)</f>
        <v>0.53686773912095997</v>
      </c>
      <c r="AU5" s="451"/>
      <c r="AV5" s="167"/>
      <c r="AW5" s="172"/>
    </row>
    <row r="6" spans="1:49" ht="12.75">
      <c r="A6" s="448" t="e">
        <f>Divident_all!#REF!</f>
        <v>#REF!</v>
      </c>
      <c r="B6" s="449">
        <f ca="1">IFERROR(__xludf.DUMMYFUNCTION("Divident_all!L50*GOOGLEFINANCE (""Currency:USDRON"")"),0.266959456113794)</f>
        <v>0.26695945611379401</v>
      </c>
      <c r="C6" s="450">
        <v>0.21</v>
      </c>
      <c r="D6" s="52"/>
      <c r="E6" s="448" t="e">
        <f>Divident_all!#REF!</f>
        <v>#REF!</v>
      </c>
      <c r="F6" s="449">
        <f ca="1">IFERROR(__xludf.DUMMYFUNCTION("Divident_all!L11*GOOGLEFINANCE (""Currency:USDRON"")"),1.1231711519976)</f>
        <v>1.1231711519976</v>
      </c>
      <c r="G6" s="450">
        <v>0.74</v>
      </c>
      <c r="H6" s="52"/>
      <c r="I6" s="448" t="str">
        <f>Divident_all!B3</f>
        <v>AMD</v>
      </c>
      <c r="J6" s="449">
        <f ca="1">IFERROR(__xludf.DUMMYFUNCTION("Divident_all!L3*GOOGLEFINANCE (""Currency:USDRON"")"),2.53618266341249)</f>
        <v>2.53618266341249</v>
      </c>
      <c r="K6" s="450">
        <v>2.58</v>
      </c>
      <c r="L6" s="52"/>
      <c r="M6" s="448" t="e">
        <f>Divident_all!#REF!</f>
        <v>#REF!</v>
      </c>
      <c r="N6" s="449">
        <f ca="1">IFERROR(__xludf.DUMMYFUNCTION("GOOGLEFINANCE (""Currency:USDRON"")*Divident_all!L28"),0.557300340791999)</f>
        <v>0.55730034079199897</v>
      </c>
      <c r="O6" s="450">
        <v>0.56000000000000005</v>
      </c>
      <c r="P6" s="52"/>
      <c r="Q6" s="448" t="e">
        <f>Divident_all!#REF!</f>
        <v>#REF!</v>
      </c>
      <c r="R6" s="449">
        <f ca="1">IFERROR(__xludf.DUMMYFUNCTION("GOOGLEFINANCE (""Currency:USDRON"")*Divident_all!L16"),0.455503469451726)</f>
        <v>0.45550346945172598</v>
      </c>
      <c r="S6" s="449"/>
      <c r="T6" s="52"/>
      <c r="U6" s="448" t="e">
        <f>Divident_all!#REF!</f>
        <v>#REF!</v>
      </c>
      <c r="V6" s="449">
        <f ca="1">IFERROR(__xludf.DUMMYFUNCTION("Divident_all!L7*GOOGLEFINANCE (""Currency:USDRON"")"),1.24547379177959)</f>
        <v>1.2454737917795899</v>
      </c>
      <c r="W6" s="449"/>
      <c r="X6" s="52"/>
      <c r="Y6" s="448" t="e">
        <f>Divident_all!#REF!</f>
        <v>#REF!</v>
      </c>
      <c r="Z6" s="449">
        <f ca="1">IFERROR(__xludf.DUMMYFUNCTION("GOOGLEFINANCE (""Currency:USDRON"")*Divident_all!L28"),0.557300340791999)</f>
        <v>0.55730034079199897</v>
      </c>
      <c r="AA6" s="449"/>
      <c r="AB6" s="52"/>
      <c r="AC6" s="448" t="e">
        <f>Divident_all!#REF!</f>
        <v>#REF!</v>
      </c>
      <c r="AD6" s="449">
        <f ca="1">IFERROR(__xludf.DUMMYFUNCTION("GOOGLEFINANCE (""Currency:USDRON"")*Divident_all!L16"),0.455503469451726)</f>
        <v>0.45550346945172598</v>
      </c>
      <c r="AE6" s="451"/>
      <c r="AF6" s="167"/>
      <c r="AG6" s="448" t="e">
        <f>Divident_all!#REF!</f>
        <v>#REF!</v>
      </c>
      <c r="AH6" s="449">
        <f ca="1">IFERROR(__xludf.DUMMYFUNCTION("Divident_all!L7*GOOGLEFINANCE (""Currency:USDRON"")"),1.24547379177959)</f>
        <v>1.2454737917795899</v>
      </c>
      <c r="AI6" s="451"/>
      <c r="AJ6" s="167"/>
      <c r="AK6" s="448" t="e">
        <f>Divident_all!#REF!</f>
        <v>#REF!</v>
      </c>
      <c r="AL6" s="449">
        <f ca="1">IFERROR(__xludf.DUMMYFUNCTION("GOOGLEFINANCE (""Currency:USDRON"")*Divident_all!L28"),0.557300340791999)</f>
        <v>0.55730034079199897</v>
      </c>
      <c r="AM6" s="451"/>
      <c r="AN6" s="167"/>
      <c r="AO6" s="448" t="e">
        <f>Divident_all!#REF!</f>
        <v>#REF!</v>
      </c>
      <c r="AP6" s="449">
        <f ca="1">IFERROR(__xludf.DUMMYFUNCTION("GOOGLEFINANCE (""Currency:USDRON"")*Divident_all!L16"),0.455503469451726)</f>
        <v>0.45550346945172598</v>
      </c>
      <c r="AQ6" s="451"/>
      <c r="AR6" s="167"/>
      <c r="AS6" s="452" t="e">
        <f>Divident_all!#REF!</f>
        <v>#REF!</v>
      </c>
      <c r="AT6" s="453">
        <f ca="1">IFERROR(__xludf.DUMMYFUNCTION("Divident_all!L7*GOOGLEFINANCE (""Currency:USDRON"")"),1.24547379177959)</f>
        <v>1.2454737917795899</v>
      </c>
      <c r="AU6" s="451"/>
      <c r="AV6" s="167"/>
      <c r="AW6" s="172"/>
    </row>
    <row r="7" spans="1:49" ht="12.75">
      <c r="A7" s="448"/>
      <c r="B7" s="449"/>
      <c r="C7" s="449"/>
      <c r="D7" s="52"/>
      <c r="E7" s="448" t="e">
        <f>Divident_all!#REF!</f>
        <v>#REF!</v>
      </c>
      <c r="F7" s="449">
        <f ca="1">IFERROR(__xludf.DUMMYFUNCTION("Divident_all!L38*GOOGLEFINANCE (""Currency:USDRON"")"),0.1520521725825)</f>
        <v>0.15205217258250001</v>
      </c>
      <c r="G7" s="450">
        <v>0.12</v>
      </c>
      <c r="H7" s="52"/>
      <c r="I7" s="448" t="e">
        <f>Divident_all!#REF!</f>
        <v>#REF!</v>
      </c>
      <c r="J7" s="449">
        <f ca="1">IFERROR(__xludf.DUMMYFUNCTION("Divident_all!L4*GOOGLEFINANCE (""Currency:USDRON"")"),0.53686773912096)</f>
        <v>0.53686773912095997</v>
      </c>
      <c r="K7" s="450">
        <v>0.56000000000000005</v>
      </c>
      <c r="L7" s="52"/>
      <c r="M7" s="448" t="e">
        <f>Divident_all!#REF!</f>
        <v>#REF!</v>
      </c>
      <c r="N7" s="449">
        <f ca="1">IFERROR(__xludf.DUMMYFUNCTION("GOOGLEFINANCE (""Currency:USDRON"")*Divident_all!L40"),2.0113246676655)</f>
        <v>2.0113246676654999</v>
      </c>
      <c r="O7" s="450">
        <v>2.02</v>
      </c>
      <c r="P7" s="52"/>
      <c r="Q7" s="448" t="e">
        <f>Divident_all!#REF!</f>
        <v>#REF!</v>
      </c>
      <c r="R7" s="449">
        <f ca="1">IFERROR(__xludf.DUMMYFUNCTION("GOOGLEFINANCE (""Currency:USDRON"")*Divident_all!L18"),0.493642987853399)</f>
        <v>0.493642987853399</v>
      </c>
      <c r="S7" s="449"/>
      <c r="T7" s="52"/>
      <c r="U7" s="448" t="e">
        <f>Divident_all!#REF!</f>
        <v>#REF!</v>
      </c>
      <c r="V7" s="449">
        <f ca="1">IFERROR(__xludf.DUMMYFUNCTION("Divident_all!L8*GOOGLEFINANCE (""Currency:USDRON"")"),0.09953563826052)</f>
        <v>9.9535638260520004E-2</v>
      </c>
      <c r="W7" s="449"/>
      <c r="X7" s="52"/>
      <c r="Y7" s="448" t="e">
        <f>Divident_all!#REF!</f>
        <v>#REF!</v>
      </c>
      <c r="Z7" s="449">
        <f ca="1">IFERROR(__xludf.DUMMYFUNCTION("GOOGLEFINANCE (""Currency:USDRON"")*Divident_all!L40"),2.0113246676655)</f>
        <v>2.0113246676654999</v>
      </c>
      <c r="AA7" s="449"/>
      <c r="AB7" s="52"/>
      <c r="AC7" s="448" t="e">
        <f>Divident_all!#REF!</f>
        <v>#REF!</v>
      </c>
      <c r="AD7" s="449">
        <f ca="1">IFERROR(__xludf.DUMMYFUNCTION("GOOGLEFINANCE (""Currency:USDRON"")*Divident_all!L18"),0.493642987853399)</f>
        <v>0.493642987853399</v>
      </c>
      <c r="AE7" s="451"/>
      <c r="AF7" s="167"/>
      <c r="AG7" s="448" t="e">
        <f>Divident_all!#REF!</f>
        <v>#REF!</v>
      </c>
      <c r="AH7" s="449">
        <f ca="1">IFERROR(__xludf.DUMMYFUNCTION("Divident_all!L8*GOOGLEFINANCE (""Currency:USDRON"")"),0.09953563826052)</f>
        <v>9.9535638260520004E-2</v>
      </c>
      <c r="AI7" s="451"/>
      <c r="AJ7" s="167"/>
      <c r="AK7" s="448" t="e">
        <f>Divident_all!#REF!</f>
        <v>#REF!</v>
      </c>
      <c r="AL7" s="449">
        <f ca="1">IFERROR(__xludf.DUMMYFUNCTION("GOOGLEFINANCE (""Currency:USDRON"")*Divident_all!L40"),2.0113246676655)</f>
        <v>2.0113246676654999</v>
      </c>
      <c r="AM7" s="451"/>
      <c r="AN7" s="167"/>
      <c r="AO7" s="452" t="e">
        <f>Divident_all!#REF!</f>
        <v>#REF!</v>
      </c>
      <c r="AP7" s="453">
        <f ca="1">IFERROR(__xludf.DUMMYFUNCTION("GOOGLEFINANCE (""Currency:USDRON"")*Divident_all!L18"),0.493642987853399)</f>
        <v>0.493642987853399</v>
      </c>
      <c r="AQ7" s="451"/>
      <c r="AR7" s="167"/>
      <c r="AS7" s="452" t="e">
        <f>Divident_all!#REF!</f>
        <v>#REF!</v>
      </c>
      <c r="AT7" s="453">
        <f ca="1">IFERROR(__xludf.DUMMYFUNCTION("Divident_all!L8*GOOGLEFINANCE (""Currency:USDRON"")"),0.09953563826052)</f>
        <v>9.9535638260520004E-2</v>
      </c>
      <c r="AU7" s="451"/>
      <c r="AV7" s="167"/>
      <c r="AW7" s="172"/>
    </row>
    <row r="8" spans="1:49" ht="12.75">
      <c r="A8" s="448" t="e">
        <f>Divident_all!#REF!</f>
        <v>#REF!</v>
      </c>
      <c r="B8" s="449">
        <f ca="1">IFERROR(__xludf.DUMMYFUNCTION("Divident_all!L40*GOOGLEFINANCE (""Currency:USDRON"")"),2.0113246676655)</f>
        <v>2.0113246676654999</v>
      </c>
      <c r="C8" s="450">
        <v>0.77</v>
      </c>
      <c r="D8" s="52"/>
      <c r="E8" s="448" t="e">
        <f>Divident_all!#REF!</f>
        <v>#REF!</v>
      </c>
      <c r="F8" s="449">
        <f ca="1">IFERROR(__xludf.DUMMYFUNCTION("Divident_all!L37*GOOGLEFINANCE (""Currency:USDRON"")"),0.34057117111248)</f>
        <v>0.34057117111247998</v>
      </c>
      <c r="G8" s="450">
        <v>0.26</v>
      </c>
      <c r="H8" s="52"/>
      <c r="I8" s="448" t="e">
        <f>Divident_all!#REF!</f>
        <v>#REF!</v>
      </c>
      <c r="J8" s="449">
        <f ca="1">IFERROR(__xludf.DUMMYFUNCTION("Divident_all!L7*GOOGLEFINANCE (""Currency:USDRON"")"),1.24547379177959)</f>
        <v>1.2454737917795899</v>
      </c>
      <c r="K8" s="450">
        <v>1.29</v>
      </c>
      <c r="L8" s="52"/>
      <c r="M8" s="448" t="e">
        <f>Divident_all!#REF!</f>
        <v>#REF!</v>
      </c>
      <c r="N8" s="449">
        <f ca="1">IFERROR(__xludf.DUMMYFUNCTION("GOOGLEFINANCE (""Currency:USDRON"")*Divident_all!L43"),0.79647816022488)</f>
        <v>0.79647816022488005</v>
      </c>
      <c r="O8" s="450">
        <v>0.8</v>
      </c>
      <c r="P8" s="52"/>
      <c r="Q8" s="448" t="e">
        <f>Divident_all!#REF!</f>
        <v>#REF!</v>
      </c>
      <c r="R8" s="449">
        <f ca="1">IFERROR(__xludf.DUMMYFUNCTION("GOOGLEFINANCE (""Currency:USDRON"")*Divident_all!L21"),1.52155191945599)</f>
        <v>1.5215519194559901</v>
      </c>
      <c r="S8" s="450"/>
      <c r="T8" s="52"/>
      <c r="U8" s="448" t="e">
        <f>Divident_all!#REF!</f>
        <v>#REF!</v>
      </c>
      <c r="V8" s="449">
        <f ca="1">IFERROR(__xludf.DUMMYFUNCTION("GOOGLEFINANCE (""Currency:USDRON"")*Divident_all!L14"),0.43066685070486)</f>
        <v>0.43066685070485999</v>
      </c>
      <c r="W8" s="450"/>
      <c r="X8" s="52"/>
      <c r="Y8" s="448" t="e">
        <f>Divident_all!#REF!</f>
        <v>#REF!</v>
      </c>
      <c r="Z8" s="449">
        <f ca="1">IFERROR(__xludf.DUMMYFUNCTION("GOOGLEFINANCE (""Currency:USDRON"")*Divident_all!L43"),0.79647816022488)</f>
        <v>0.79647816022488005</v>
      </c>
      <c r="AA8" s="450"/>
      <c r="AB8" s="52"/>
      <c r="AC8" s="448" t="e">
        <f>Divident_all!#REF!</f>
        <v>#REF!</v>
      </c>
      <c r="AD8" s="449">
        <f ca="1">IFERROR(__xludf.DUMMYFUNCTION("GOOGLEFINANCE (""Currency:USDRON"")*Divident_all!L21"),1.52155191945599)</f>
        <v>1.5215519194559901</v>
      </c>
      <c r="AE8" s="451"/>
      <c r="AF8" s="167"/>
      <c r="AG8" s="448" t="e">
        <f>Divident_all!#REF!</f>
        <v>#REF!</v>
      </c>
      <c r="AH8" s="449">
        <f ca="1">IFERROR(__xludf.DUMMYFUNCTION("GOOGLEFINANCE (""Currency:USDRON"")*Divident_all!L14"),0.43066685070486)</f>
        <v>0.43066685070485999</v>
      </c>
      <c r="AI8" s="451"/>
      <c r="AJ8" s="167"/>
      <c r="AK8" s="448" t="e">
        <f>Divident_all!#REF!</f>
        <v>#REF!</v>
      </c>
      <c r="AL8" s="449">
        <f ca="1">IFERROR(__xludf.DUMMYFUNCTION("GOOGLEFINANCE (""Currency:USDRON"")*Divident_all!L43"),0.79647816022488)</f>
        <v>0.79647816022488005</v>
      </c>
      <c r="AM8" s="451"/>
      <c r="AN8" s="167"/>
      <c r="AO8" s="452" t="e">
        <f>Divident_all!#REF!</f>
        <v>#REF!</v>
      </c>
      <c r="AP8" s="453">
        <f ca="1">IFERROR(__xludf.DUMMYFUNCTION("GOOGLEFINANCE (""Currency:USDRON"")*Divident_all!L21"),1.52155191945599)</f>
        <v>1.5215519194559901</v>
      </c>
      <c r="AQ8" s="451"/>
      <c r="AR8" s="167"/>
      <c r="AS8" s="452" t="e">
        <f>Divident_all!#REF!</f>
        <v>#REF!</v>
      </c>
      <c r="AT8" s="453">
        <f ca="1">IFERROR(__xludf.DUMMYFUNCTION("Divident_all!L9*GOOGLEFINANCE (""Currency:USDRON"")"),0.642263643612)</f>
        <v>0.64226364361199995</v>
      </c>
      <c r="AU8" s="451"/>
      <c r="AV8" s="167"/>
      <c r="AW8" s="172"/>
    </row>
    <row r="9" spans="1:49" ht="12.75">
      <c r="A9" s="448" t="e">
        <f>Divident_all!#REF!</f>
        <v>#REF!</v>
      </c>
      <c r="B9" s="449">
        <f ca="1">IFERROR(__xludf.DUMMYFUNCTION("Divident_all!L43*GOOGLEFINANCE (""Currency:USDRON"")"),0.79647816022488)</f>
        <v>0.79647816022488005</v>
      </c>
      <c r="C9" s="450">
        <v>0.59</v>
      </c>
      <c r="D9" s="52"/>
      <c r="E9" s="448" t="e">
        <f>Divident_all!#REF!</f>
        <v>#REF!</v>
      </c>
      <c r="F9" s="449">
        <f ca="1">IFERROR(__xludf.DUMMYFUNCTION("Divident_all!L64*GOOGLEFINANCE (""Currency:USDRON"")"),0.6145746993225)</f>
        <v>0.61457469932249997</v>
      </c>
      <c r="G9" s="450">
        <v>0.5</v>
      </c>
      <c r="H9" s="52"/>
      <c r="I9" s="448" t="e">
        <f>Divident_all!#REF!</f>
        <v>#REF!</v>
      </c>
      <c r="J9" s="449">
        <f ca="1">IFERROR(__xludf.DUMMYFUNCTION("Divident_all!L8*GOOGLEFINANCE (""Currency:USDRON"")"),0.09953563826052)</f>
        <v>9.9535638260520004E-2</v>
      </c>
      <c r="K9" s="450">
        <v>0.1</v>
      </c>
      <c r="L9" s="52"/>
      <c r="M9" s="448" t="e">
        <f>Divident_all!#REF!</f>
        <v>#REF!</v>
      </c>
      <c r="N9" s="449">
        <f ca="1">IFERROR(__xludf.DUMMYFUNCTION("GOOGLEFINANCE (""Currency:USDRON"")*Divident_all!L44"),0.9558798416379)</f>
        <v>0.95587984163789996</v>
      </c>
      <c r="O9" s="450">
        <v>0.79</v>
      </c>
      <c r="P9" s="52"/>
      <c r="Q9" s="448" t="e">
        <f>Divident_all!#REF!</f>
        <v>#REF!</v>
      </c>
      <c r="R9" s="449">
        <f ca="1">IFERROR(__xludf.DUMMYFUNCTION("GOOGLEFINANCE (""Currency:USDRON"")*Divident_all!L29"),1.42845372955799)</f>
        <v>1.42845372955799</v>
      </c>
      <c r="S9" s="449"/>
      <c r="T9" s="52"/>
      <c r="U9" s="448" t="e">
        <f>Divident_all!#REF!</f>
        <v>#REF!</v>
      </c>
      <c r="V9" s="449">
        <f ca="1">IFERROR(__xludf.DUMMYFUNCTION("GOOGLEFINANCE (""Currency:USDRON"")*Divident_all!L20"),0.358590298175999)</f>
        <v>0.35859029817599902</v>
      </c>
      <c r="W9" s="449"/>
      <c r="X9" s="52"/>
      <c r="Y9" s="448" t="e">
        <f>Divident_all!#REF!</f>
        <v>#REF!</v>
      </c>
      <c r="Z9" s="449">
        <f ca="1">IFERROR(__xludf.DUMMYFUNCTION("GOOGLEFINANCE (""Currency:USDRON"")*Divident_all!L44"),0.9558798416379)</f>
        <v>0.95587984163789996</v>
      </c>
      <c r="AA9" s="449"/>
      <c r="AB9" s="52"/>
      <c r="AC9" s="448" t="e">
        <f>Divident_all!#REF!</f>
        <v>#REF!</v>
      </c>
      <c r="AD9" s="449">
        <f ca="1">IFERROR(__xludf.DUMMYFUNCTION("GOOGLEFINANCE (""Currency:USDRON"")*Divident_all!L29"),1.42845372955799)</f>
        <v>1.42845372955799</v>
      </c>
      <c r="AE9" s="451"/>
      <c r="AF9" s="167"/>
      <c r="AG9" s="448" t="e">
        <f>Divident_all!#REF!</f>
        <v>#REF!</v>
      </c>
      <c r="AH9" s="449">
        <f ca="1">IFERROR(__xludf.DUMMYFUNCTION("GOOGLEFINANCE (""Currency:USDRON"")*Divident_all!L20"),0.358590298175999)</f>
        <v>0.35859029817599902</v>
      </c>
      <c r="AI9" s="451"/>
      <c r="AJ9" s="167"/>
      <c r="AK9" s="448" t="e">
        <f>Divident_all!#REF!</f>
        <v>#REF!</v>
      </c>
      <c r="AL9" s="449">
        <f ca="1">IFERROR(__xludf.DUMMYFUNCTION("GOOGLEFINANCE (""Currency:USDRON"")*Divident_all!L44"),0.9558798416379)</f>
        <v>0.95587984163789996</v>
      </c>
      <c r="AM9" s="451"/>
      <c r="AN9" s="167"/>
      <c r="AO9" s="452" t="e">
        <f>Divident_all!#REF!</f>
        <v>#REF!</v>
      </c>
      <c r="AP9" s="453">
        <f ca="1">IFERROR(__xludf.DUMMYFUNCTION("GOOGLEFINANCE (""Currency:USDRON"")*Divident_all!L29"),1.42845372955799)</f>
        <v>1.42845372955799</v>
      </c>
      <c r="AQ9" s="451"/>
      <c r="AR9" s="167"/>
      <c r="AS9" s="452" t="e">
        <f>Divident_all!#REF!</f>
        <v>#REF!</v>
      </c>
      <c r="AT9" s="453">
        <f ca="1">IFERROR(__xludf.DUMMYFUNCTION("GOOGLEFINANCE (""Currency:USDRON"")*Divident_all!L20"),0.358590298175999)</f>
        <v>0.35859029817599902</v>
      </c>
      <c r="AU9" s="451"/>
      <c r="AV9" s="167"/>
      <c r="AW9" s="172"/>
    </row>
    <row r="10" spans="1:49" ht="12.75">
      <c r="A10" s="448" t="e">
        <f>Divident_all!#REF!</f>
        <v>#REF!</v>
      </c>
      <c r="B10" s="449">
        <f ca="1">IFERROR(__xludf.DUMMYFUNCTION("Divident_all!L44*GOOGLEFINANCE (""Currency:USDRON"")"),0.9558798416379)</f>
        <v>0.95587984163789996</v>
      </c>
      <c r="C10" s="450">
        <v>0.39</v>
      </c>
      <c r="E10" s="448" t="e">
        <f>Divident_all!#REF!</f>
        <v>#REF!</v>
      </c>
      <c r="F10" s="449">
        <f ca="1">IFERROR(__xludf.DUMMYFUNCTION("Divident_all!L56*GOOGLEFINANCE (""Currency:USDRON"")"),0.72971159878584)</f>
        <v>0.72971159878584002</v>
      </c>
      <c r="G10" s="450">
        <v>0.54</v>
      </c>
      <c r="I10" s="448" t="e">
        <f>Divident_all!#REF!</f>
        <v>#REF!</v>
      </c>
      <c r="J10" s="449">
        <f ca="1">IFERROR(__xludf.DUMMYFUNCTION("GOOGLEFINANCE (""Currency:USDRON"")*Divident_all!L14"),0.43066685070486)</f>
        <v>0.43066685070485999</v>
      </c>
      <c r="K10" s="450">
        <v>0.4</v>
      </c>
      <c r="M10" s="448" t="e">
        <f>Divident_all!#REF!</f>
        <v>#REF!</v>
      </c>
      <c r="N10" s="449">
        <f ca="1">IFERROR(__xludf.DUMMYFUNCTION("GOOGLEFINANCE (""Currency:USDRON"")*Divident_all!L47"),3.338202492576)</f>
        <v>3.3382024925759999</v>
      </c>
      <c r="O10" s="450">
        <v>3.35</v>
      </c>
      <c r="P10" s="52"/>
      <c r="Q10" s="448" t="e">
        <f>Divident_all!#REF!</f>
        <v>#REF!</v>
      </c>
      <c r="R10" s="449">
        <f ca="1">IFERROR(__xludf.DUMMYFUNCTION("GOOGLEFINANCE (""Currency:USDRON"")*Divident_all!L37"),0.34057117111248)</f>
        <v>0.34057117111247998</v>
      </c>
      <c r="S10" s="449"/>
      <c r="T10" s="52"/>
      <c r="U10" s="448" t="e">
        <f>Divident_all!#REF!</f>
        <v>#REF!</v>
      </c>
      <c r="V10" s="449">
        <f ca="1">IFERROR(__xludf.DUMMYFUNCTION("GOOGLEFINANCE (""Currency:USDRON"")*Divident_all!L23"),0.8548707950487)</f>
        <v>0.85487079504870001</v>
      </c>
      <c r="W10" s="449"/>
      <c r="X10" s="52"/>
      <c r="Y10" s="448" t="e">
        <f>Divident_all!#REF!</f>
        <v>#REF!</v>
      </c>
      <c r="Z10" s="449">
        <f ca="1">IFERROR(__xludf.DUMMYFUNCTION("GOOGLEFINANCE (""Currency:USDRON"")*Divident_all!L47"),3.338202492576)</f>
        <v>3.3382024925759999</v>
      </c>
      <c r="AA10" s="449"/>
      <c r="AB10" s="52"/>
      <c r="AC10" s="448" t="e">
        <f>Divident_all!#REF!</f>
        <v>#REF!</v>
      </c>
      <c r="AD10" s="449">
        <f ca="1">IFERROR(__xludf.DUMMYFUNCTION("GOOGLEFINANCE (""Currency:USDRON"")*Divident_all!L37"),0.34057117111248)</f>
        <v>0.34057117111247998</v>
      </c>
      <c r="AE10" s="451"/>
      <c r="AF10" s="167"/>
      <c r="AG10" s="448" t="e">
        <f>Divident_all!#REF!</f>
        <v>#REF!</v>
      </c>
      <c r="AH10" s="449">
        <f ca="1">IFERROR(__xludf.DUMMYFUNCTION("GOOGLEFINANCE (""Currency:USDRON"")*Divident_all!L23"),0.8548707950487)</f>
        <v>0.85487079504870001</v>
      </c>
      <c r="AI10" s="451"/>
      <c r="AJ10" s="167"/>
      <c r="AK10" s="448" t="e">
        <f>Divident_all!#REF!</f>
        <v>#REF!</v>
      </c>
      <c r="AL10" s="449">
        <f ca="1">IFERROR(__xludf.DUMMYFUNCTION("GOOGLEFINANCE (""Currency:USDRON"")*Divident_all!L47"),3.338202492576)</f>
        <v>3.3382024925759999</v>
      </c>
      <c r="AM10" s="451"/>
      <c r="AN10" s="167"/>
      <c r="AO10" s="452" t="e">
        <f>Divident_all!#REF!</f>
        <v>#REF!</v>
      </c>
      <c r="AP10" s="453">
        <f ca="1">IFERROR(__xludf.DUMMYFUNCTION("GOOGLEFINANCE (""Currency:USDRON"")*Divident_all!L37"),0.34057117111248)</f>
        <v>0.34057117111247998</v>
      </c>
      <c r="AQ10" s="451"/>
      <c r="AR10" s="167"/>
      <c r="AS10" s="452" t="e">
        <f>Divident_all!#REF!</f>
        <v>#REF!</v>
      </c>
      <c r="AT10" s="453">
        <f ca="1">IFERROR(__xludf.DUMMYFUNCTION("GOOGLEFINANCE (""Currency:USDRON"")*Divident_all!L23"),0.8548707950487)</f>
        <v>0.85487079504870001</v>
      </c>
      <c r="AU10" s="451"/>
      <c r="AV10" s="167"/>
      <c r="AW10" s="172"/>
    </row>
    <row r="11" spans="1:49" ht="12.75">
      <c r="A11" s="448" t="e">
        <f>Divident_all!#REF!</f>
        <v>#REF!</v>
      </c>
      <c r="B11" s="449">
        <f ca="1">IFERROR(__xludf.DUMMYFUNCTION("Divident_all!L28*GOOGLEFINANCE (""Currency:USDRON"")"),0.557300340791999)</f>
        <v>0.55730034079199897</v>
      </c>
      <c r="C11" s="450">
        <v>0.39</v>
      </c>
      <c r="E11" s="448" t="e">
        <f>Divident_all!#REF!</f>
        <v>#REF!</v>
      </c>
      <c r="F11" s="449">
        <f ca="1">IFERROR(__xludf.DUMMYFUNCTION("Divident_all!L39*GOOGLEFINANCE (""Currency:USDRON"")"),0.283273745421599)</f>
        <v>0.283273745421599</v>
      </c>
      <c r="G11" s="450">
        <v>0.22</v>
      </c>
      <c r="I11" s="448" t="e">
        <f>Divident_all!#REF!</f>
        <v>#REF!</v>
      </c>
      <c r="J11" s="449">
        <f ca="1">IFERROR(__xludf.DUMMYFUNCTION("GOOGLEFINANCE (""Currency:USDRON"")*Divident_all!L20"),0.358590298175999)</f>
        <v>0.35859029817599902</v>
      </c>
      <c r="K11" s="450">
        <v>0.36</v>
      </c>
      <c r="M11" s="448" t="e">
        <f>Divident_all!#REF!</f>
        <v>#REF!</v>
      </c>
      <c r="N11" s="449">
        <f ca="1">IFERROR(__xludf.DUMMYFUNCTION("GOOGLEFINANCE (""Currency:USDRON"")*Divident_all!L50"),0.266959456113794)</f>
        <v>0.26695945611379401</v>
      </c>
      <c r="O11" s="450">
        <v>0.27</v>
      </c>
      <c r="P11" s="52"/>
      <c r="Q11" s="448" t="e">
        <f>Divident_all!#REF!</f>
        <v>#REF!</v>
      </c>
      <c r="R11" s="449">
        <f ca="1">IFERROR(__xludf.DUMMYFUNCTION("GOOGLEFINANCE (""Currency:USDRON"")*Divident_all!L38"),0.1520521725825)</f>
        <v>0.15205217258250001</v>
      </c>
      <c r="S11" s="449"/>
      <c r="T11" s="52"/>
      <c r="U11" s="448" t="e">
        <f>Divident_all!#REF!</f>
        <v>#REF!</v>
      </c>
      <c r="V11" s="449">
        <f ca="1">IFERROR(__xludf.DUMMYFUNCTION("GOOGLEFINANCE (""Currency:USDRON"")*Divident_all!L26"),1.30271922277884)</f>
        <v>1.30271922277884</v>
      </c>
      <c r="W11" s="449"/>
      <c r="X11" s="52"/>
      <c r="Y11" s="448" t="e">
        <f>Divident_all!#REF!</f>
        <v>#REF!</v>
      </c>
      <c r="Z11" s="449">
        <f ca="1">IFERROR(__xludf.DUMMYFUNCTION("GOOGLEFINANCE (""Currency:USDRON"")*Divident_all!L50"),0.266959456113794)</f>
        <v>0.26695945611379401</v>
      </c>
      <c r="AA11" s="449"/>
      <c r="AB11" s="52"/>
      <c r="AC11" s="448" t="e">
        <f>Divident_all!#REF!</f>
        <v>#REF!</v>
      </c>
      <c r="AD11" s="449">
        <f ca="1">IFERROR(__xludf.DUMMYFUNCTION("GOOGLEFINANCE (""Currency:USDRON"")*Divident_all!L38"),0.1520521725825)</f>
        <v>0.15205217258250001</v>
      </c>
      <c r="AE11" s="451"/>
      <c r="AF11" s="167"/>
      <c r="AG11" s="448" t="e">
        <f>Divident_all!#REF!</f>
        <v>#REF!</v>
      </c>
      <c r="AH11" s="449">
        <f ca="1">IFERROR(__xludf.DUMMYFUNCTION("GOOGLEFINANCE (""Currency:USDRON"")*Divident_all!L26"),1.30271922277884)</f>
        <v>1.30271922277884</v>
      </c>
      <c r="AI11" s="451"/>
      <c r="AJ11" s="167"/>
      <c r="AK11" s="448" t="e">
        <f>Divident_all!#REF!</f>
        <v>#REF!</v>
      </c>
      <c r="AL11" s="449">
        <f ca="1">IFERROR(__xludf.DUMMYFUNCTION("GOOGLEFINANCE (""Currency:USDRON"")*Divident_all!L50"),0.266959456113794)</f>
        <v>0.26695945611379401</v>
      </c>
      <c r="AM11" s="451"/>
      <c r="AN11" s="167"/>
      <c r="AO11" s="452" t="e">
        <f>Divident_all!#REF!</f>
        <v>#REF!</v>
      </c>
      <c r="AP11" s="453">
        <f ca="1">IFERROR(__xludf.DUMMYFUNCTION("GOOGLEFINANCE (""Currency:USDRON"")*Divident_all!L38"),0.1520521725825)</f>
        <v>0.15205217258250001</v>
      </c>
      <c r="AQ11" s="451"/>
      <c r="AR11" s="167"/>
      <c r="AS11" s="452" t="e">
        <f>Divident_all!#REF!</f>
        <v>#REF!</v>
      </c>
      <c r="AT11" s="453">
        <f ca="1">IFERROR(__xludf.DUMMYFUNCTION("GOOGLEFINANCE (""Currency:USDRON"")*Divident_all!L26"),1.30271922277884)</f>
        <v>1.30271922277884</v>
      </c>
      <c r="AU11" s="451"/>
      <c r="AV11" s="167"/>
      <c r="AW11" s="172"/>
    </row>
    <row r="12" spans="1:49" ht="12.75">
      <c r="A12" s="448" t="e">
        <f>Divident_all!#REF!</f>
        <v>#REF!</v>
      </c>
      <c r="B12" s="449">
        <f ca="1">IFERROR(__xludf.DUMMYFUNCTION("GOOGLEFINANCE (""Currency:USDRON"")*Divident_all!L12"),0.933845632000199)</f>
        <v>0.93384563200019899</v>
      </c>
      <c r="C12" s="450">
        <v>0.62</v>
      </c>
      <c r="E12" s="448" t="e">
        <f>Divident_all!#REF!</f>
        <v>#REF!</v>
      </c>
      <c r="F12" s="449">
        <f ca="1">IFERROR(__xludf.DUMMYFUNCTION("GOOGLEFINANCE (""Currency:USDRON"")*Divident_all!L15"),0.4095742368384)</f>
        <v>0.4095742368384</v>
      </c>
      <c r="G12" s="450">
        <v>0.3</v>
      </c>
      <c r="I12" s="448" t="e">
        <f>Divident_all!#REF!</f>
        <v>#REF!</v>
      </c>
      <c r="J12" s="449">
        <f ca="1">IFERROR(__xludf.DUMMYFUNCTION("GOOGLEFINANCE (""Currency:USDRON"")*Divident_all!L23"),0.8548707950487)</f>
        <v>0.85487079504870001</v>
      </c>
      <c r="K12" s="450">
        <v>0.42</v>
      </c>
      <c r="M12" s="448" t="e">
        <f>Divident_all!#REF!</f>
        <v>#REF!</v>
      </c>
      <c r="N12" s="449">
        <f ca="1">IFERROR(__xludf.DUMMYFUNCTION("GOOGLEFINANCE (""Currency:USDRON"")*Divident_all!L12"),0.933845632000199)</f>
        <v>0.93384563200019899</v>
      </c>
      <c r="O12" s="450">
        <v>0.94</v>
      </c>
      <c r="P12" s="52"/>
      <c r="Q12" s="448" t="e">
        <f>Divident_all!#REF!</f>
        <v>#REF!</v>
      </c>
      <c r="R12" s="449">
        <f ca="1">IFERROR(__xludf.DUMMYFUNCTION("GOOGLEFINANCE (""Currency:USDRON"")*Divident_all!L39"),0.283273745421599)</f>
        <v>0.283273745421599</v>
      </c>
      <c r="S12" s="449"/>
      <c r="T12" s="52"/>
      <c r="U12" s="448"/>
      <c r="V12" s="449"/>
      <c r="W12" s="449"/>
      <c r="X12" s="52"/>
      <c r="Y12" s="448" t="e">
        <f>Divident_all!#REF!</f>
        <v>#REF!</v>
      </c>
      <c r="Z12" s="449">
        <f ca="1">IFERROR(__xludf.DUMMYFUNCTION("GOOGLEFINANCE (""Currency:USDRON"")*Divident_all!L12"),0.933845632000199)</f>
        <v>0.93384563200019899</v>
      </c>
      <c r="AA12" s="449"/>
      <c r="AB12" s="52"/>
      <c r="AC12" s="448" t="e">
        <f>Divident_all!#REF!</f>
        <v>#REF!</v>
      </c>
      <c r="AD12" s="449">
        <f ca="1">IFERROR(__xludf.DUMMYFUNCTION("GOOGLEFINANCE (""Currency:USDRON"")*Divident_all!L39"),0.283273745421599)</f>
        <v>0.283273745421599</v>
      </c>
      <c r="AE12" s="451"/>
      <c r="AF12" s="167"/>
      <c r="AG12" s="448"/>
      <c r="AH12" s="449"/>
      <c r="AI12" s="451"/>
      <c r="AJ12" s="167"/>
      <c r="AK12" s="448" t="e">
        <f>Divident_all!#REF!</f>
        <v>#REF!</v>
      </c>
      <c r="AL12" s="449">
        <f ca="1">IFERROR(__xludf.DUMMYFUNCTION("GOOGLEFINANCE (""Currency:USDRON"")*Divident_all!L12"),0.933845632000199)</f>
        <v>0.93384563200019899</v>
      </c>
      <c r="AM12" s="451"/>
      <c r="AN12" s="167"/>
      <c r="AO12" s="452" t="e">
        <f>Divident_all!#REF!</f>
        <v>#REF!</v>
      </c>
      <c r="AP12" s="453">
        <f ca="1">IFERROR(__xludf.DUMMYFUNCTION("GOOGLEFINANCE (""Currency:USDRON"")*Divident_all!L39"),0.283273745421599)</f>
        <v>0.283273745421599</v>
      </c>
      <c r="AQ12" s="451"/>
      <c r="AR12" s="167"/>
      <c r="AS12" s="452"/>
      <c r="AT12" s="453"/>
      <c r="AU12" s="451"/>
      <c r="AV12" s="167"/>
      <c r="AW12" s="172"/>
    </row>
    <row r="13" spans="1:49" ht="12.75">
      <c r="A13" s="448" t="e">
        <f>Divident_all!#REF!</f>
        <v>#REF!</v>
      </c>
      <c r="B13" s="449">
        <f ca="1">IFERROR(__xludf.DUMMYFUNCTION("GOOGLEFINANCE (""Currency:USDRON"")*Divident_all!L5"),0.1120586430591)</f>
        <v>0.1120586430591</v>
      </c>
      <c r="C13" s="450">
        <v>0.04</v>
      </c>
      <c r="E13" s="448" t="e">
        <f>Divident_all!#REF!</f>
        <v>#REF!</v>
      </c>
      <c r="F13" s="449">
        <f ca="1">IFERROR(__xludf.DUMMYFUNCTION("GOOGLEFINANCE (""Currency:USDRON"")*Divident_all!L16"),0.455503469451726)</f>
        <v>0.45550346945172598</v>
      </c>
      <c r="G13" s="450">
        <v>0.37</v>
      </c>
      <c r="I13" s="448" t="e">
        <f>Divident_all!#REF!</f>
        <v>#REF!</v>
      </c>
      <c r="J13" s="449">
        <f ca="1">IFERROR(__xludf.DUMMYFUNCTION("GOOGLEFINANCE (""Currency:USDRON"")*Divident_all!L26"),1.30271922277884)</f>
        <v>1.30271922277884</v>
      </c>
      <c r="K13" s="450">
        <v>1.32</v>
      </c>
      <c r="M13" s="448" t="e">
        <f>Divident_all!#REF!</f>
        <v>#REF!</v>
      </c>
      <c r="N13" s="449">
        <f ca="1">IFERROR(__xludf.DUMMYFUNCTION("GOOGLEFINANCE (""Currency:EURRON"")*Divident_all!L6"),0.597001416241303)</f>
        <v>0.59700141624130298</v>
      </c>
      <c r="O13" s="450">
        <v>0.59</v>
      </c>
      <c r="P13" s="52"/>
      <c r="Q13" s="448" t="e">
        <f>Divident_all!#REF!</f>
        <v>#REF!</v>
      </c>
      <c r="R13" s="449">
        <f ca="1">IFERROR(__xludf.DUMMYFUNCTION("GOOGLEFINANCE (""Currency:USDRON"")*Divident_all!L40"),2.0113246676655)</f>
        <v>2.0113246676654999</v>
      </c>
      <c r="S13" s="449"/>
      <c r="T13" s="52"/>
      <c r="U13" s="448" t="e">
        <f>Divident_all!#REF!</f>
        <v>#REF!</v>
      </c>
      <c r="V13" s="449">
        <f ca="1">IFERROR(__xludf.DUMMYFUNCTION("GOOGLEFINANCE (""Currency:USDRON"")*Divident_all!L33"),0.19472186502063)</f>
        <v>0.19472186502062999</v>
      </c>
      <c r="W13" s="449"/>
      <c r="X13" s="52"/>
      <c r="Y13" s="448" t="e">
        <f>Divident_all!#REF!</f>
        <v>#REF!</v>
      </c>
      <c r="Z13" s="449">
        <f ca="1">IFERROR(__xludf.DUMMYFUNCTION("GOOGLEFINANCE (""Currency:USDRON"")*Divident_all!L5"),0.1120586430591)</f>
        <v>0.1120586430591</v>
      </c>
      <c r="AA13" s="449"/>
      <c r="AB13" s="52"/>
      <c r="AC13" s="448" t="e">
        <f>Divident_all!#REF!</f>
        <v>#REF!</v>
      </c>
      <c r="AD13" s="449">
        <f ca="1">IFERROR(__xludf.DUMMYFUNCTION("GOOGLEFINANCE (""Currency:USDRON"")*Divident_all!L40"),2.0113246676655)</f>
        <v>2.0113246676654999</v>
      </c>
      <c r="AE13" s="451"/>
      <c r="AF13" s="167"/>
      <c r="AG13" s="448" t="e">
        <f>Divident_all!#REF!</f>
        <v>#REF!</v>
      </c>
      <c r="AH13" s="449">
        <f ca="1">IFERROR(__xludf.DUMMYFUNCTION("GOOGLEFINANCE (""Currency:USDRON"")*Divident_all!L33"),0.19472186502063)</f>
        <v>0.19472186502062999</v>
      </c>
      <c r="AI13" s="451"/>
      <c r="AJ13" s="167"/>
      <c r="AK13" s="448" t="e">
        <f>Divident_all!#REF!</f>
        <v>#REF!</v>
      </c>
      <c r="AL13" s="449">
        <f ca="1">IFERROR(__xludf.DUMMYFUNCTION("GOOGLEFINANCE (""Currency:USDRON"")*Divident_all!L5"),0.1120586430591)</f>
        <v>0.1120586430591</v>
      </c>
      <c r="AM13" s="451"/>
      <c r="AN13" s="167"/>
      <c r="AO13" s="452" t="e">
        <f>Divident_all!#REF!</f>
        <v>#REF!</v>
      </c>
      <c r="AP13" s="453">
        <f ca="1">IFERROR(__xludf.DUMMYFUNCTION("GOOGLEFINANCE (""Currency:USDRON"")*Divident_all!L40"),2.0113246676655)</f>
        <v>2.0113246676654999</v>
      </c>
      <c r="AQ13" s="451"/>
      <c r="AR13" s="167"/>
      <c r="AS13" s="452" t="e">
        <f>Divident_all!#REF!</f>
        <v>#REF!</v>
      </c>
      <c r="AT13" s="453">
        <f ca="1">IFERROR(__xludf.DUMMYFUNCTION("GOOGLEFINANCE (""Currency:USDRON"")*Divident_all!L33"),0.19472186502063)</f>
        <v>0.19472186502062999</v>
      </c>
      <c r="AU13" s="451"/>
      <c r="AV13" s="167"/>
      <c r="AW13" s="172"/>
    </row>
    <row r="14" spans="1:49" ht="12.75">
      <c r="A14" s="448" t="e">
        <f>Divident_all!#REF!</f>
        <v>#REF!</v>
      </c>
      <c r="B14" s="449">
        <f ca="1">IFERROR(__xludf.DUMMYFUNCTION("GOOGLEFINANCE (""Currency:USDRON"")*Divident_all!L30"),0.1936581895935)</f>
        <v>0.19365818959350001</v>
      </c>
      <c r="C14" s="450">
        <v>0.08</v>
      </c>
      <c r="E14" s="448" t="e">
        <f>Divident_all!#REF!</f>
        <v>#REF!</v>
      </c>
      <c r="F14" s="449">
        <f ca="1">IFERROR(__xludf.DUMMYFUNCTION("GOOGLEFINANCE (""Currency:USDRON"")*Divident_all!L21"),1.52155191945599)</f>
        <v>1.5215519194559901</v>
      </c>
      <c r="G14" s="450">
        <v>0.74</v>
      </c>
      <c r="I14" s="454" t="str">
        <f>Divident_special!B20</f>
        <v>DVN</v>
      </c>
      <c r="J14" s="455">
        <f ca="1">IFERROR(__xludf.DUMMYFUNCTION("GOOGLEFINANCE (""Currency:USDRON"")*Divident_special!J20"),1.2371365287072)</f>
        <v>1.2371365287072</v>
      </c>
      <c r="K14" s="456">
        <v>1.26</v>
      </c>
      <c r="M14" s="448" t="e">
        <f>Divident_all!#REF!</f>
        <v>#REF!</v>
      </c>
      <c r="N14" s="449">
        <f ca="1">IFERROR(__xludf.DUMMYFUNCTION("GOOGLEFINANCE (""Currency:USDRON"")*Divident_all!L5"),0.1120586430591)</f>
        <v>0.1120586430591</v>
      </c>
      <c r="O14" s="450">
        <v>0.11</v>
      </c>
      <c r="P14" s="52"/>
      <c r="Q14" s="448" t="e">
        <f>Divident_all!#REF!</f>
        <v>#REF!</v>
      </c>
      <c r="R14" s="449">
        <f ca="1">IFERROR(__xludf.DUMMYFUNCTION("GOOGLEFINANCE (""Currency:USDRON"")*Divident_all!L44"),0.9558798416379)</f>
        <v>0.95587984163789996</v>
      </c>
      <c r="S14" s="449"/>
      <c r="T14" s="52"/>
      <c r="U14" s="448" t="e">
        <f>Divident_all!#REF!</f>
        <v>#REF!</v>
      </c>
      <c r="V14" s="449">
        <f ca="1">IFERROR(__xludf.DUMMYFUNCTION("GOOGLEFINANCE (""Currency:USDRON"")*Divident_all!L36"),0.55758699584262)</f>
        <v>0.55758699584261995</v>
      </c>
      <c r="W14" s="449"/>
      <c r="X14" s="52"/>
      <c r="Y14" s="448" t="e">
        <f>Divident_all!#REF!</f>
        <v>#REF!</v>
      </c>
      <c r="Z14" s="449">
        <f ca="1">IFERROR(__xludf.DUMMYFUNCTION("GOOGLEFINANCE (""Currency:USDRON"")*Divident_all!L30"),0.1936581895935)</f>
        <v>0.19365818959350001</v>
      </c>
      <c r="AA14" s="449"/>
      <c r="AB14" s="52"/>
      <c r="AC14" s="448" t="e">
        <f>Divident_all!#REF!</f>
        <v>#REF!</v>
      </c>
      <c r="AD14" s="449">
        <f ca="1">IFERROR(__xludf.DUMMYFUNCTION("GOOGLEFINANCE (""Currency:USDRON"")*Divident_all!L44"),0.9558798416379)</f>
        <v>0.95587984163789996</v>
      </c>
      <c r="AE14" s="451"/>
      <c r="AF14" s="167"/>
      <c r="AG14" s="448" t="e">
        <f>Divident_all!#REF!</f>
        <v>#REF!</v>
      </c>
      <c r="AH14" s="449">
        <f ca="1">IFERROR(__xludf.DUMMYFUNCTION("GOOGLEFINANCE (""Currency:USDRON"")*Divident_all!L36"),0.55758699584262)</f>
        <v>0.55758699584261995</v>
      </c>
      <c r="AI14" s="451"/>
      <c r="AJ14" s="167"/>
      <c r="AK14" s="448" t="e">
        <f>Divident_all!#REF!</f>
        <v>#REF!</v>
      </c>
      <c r="AL14" s="449">
        <f ca="1">IFERROR(__xludf.DUMMYFUNCTION("GOOGLEFINANCE (""Currency:USDRON"")*Divident_all!L30"),0.1936581895935)</f>
        <v>0.19365818959350001</v>
      </c>
      <c r="AM14" s="451"/>
      <c r="AN14" s="167"/>
      <c r="AO14" s="452" t="e">
        <f>Divident_all!#REF!</f>
        <v>#REF!</v>
      </c>
      <c r="AP14" s="453">
        <f ca="1">IFERROR(__xludf.DUMMYFUNCTION("GOOGLEFINANCE (""Currency:USDRON"")*Divident_all!L44"),0.9558798416379)</f>
        <v>0.95587984163789996</v>
      </c>
      <c r="AQ14" s="451"/>
      <c r="AR14" s="167"/>
      <c r="AS14" s="452" t="e">
        <f>Divident_all!#REF!</f>
        <v>#REF!</v>
      </c>
      <c r="AT14" s="453">
        <f ca="1">IFERROR(__xludf.DUMMYFUNCTION("GOOGLEFINANCE (""Currency:USDRON"")*Divident_all!L36"),0.55758699584262)</f>
        <v>0.55758699584261995</v>
      </c>
      <c r="AU14" s="451"/>
      <c r="AV14" s="167"/>
      <c r="AW14" s="172"/>
    </row>
    <row r="15" spans="1:49" ht="12.75">
      <c r="A15" s="448" t="e">
        <f>Divident_all!#REF!</f>
        <v>#REF!</v>
      </c>
      <c r="B15" s="449">
        <f ca="1">IFERROR(__xludf.DUMMYFUNCTION("GOOGLEFINANCE (""Currency:USDRON"")*Divident_all!L47"),3.338202492576)</f>
        <v>3.3382024925759999</v>
      </c>
      <c r="C15" s="450">
        <v>2.38</v>
      </c>
      <c r="E15" s="448" t="e">
        <f>Divident_all!#REF!</f>
        <v>#REF!</v>
      </c>
      <c r="F15" s="449">
        <f ca="1">IFERROR(__xludf.DUMMYFUNCTION("GOOGLEFINANCE (""Currency:USDRON"")*Divident_all!L29"),1.42845372955799)</f>
        <v>1.42845372955799</v>
      </c>
      <c r="G15" s="450">
        <v>1.47</v>
      </c>
      <c r="I15" s="448" t="e">
        <f>Divident_all!#REF!</f>
        <v>#REF!</v>
      </c>
      <c r="J15" s="449">
        <f ca="1">IFERROR(__xludf.DUMMYFUNCTION("GOOGLEFINANCE (""Currency:USDRON"")*Divident_all!L33"),0.19472186502063)</f>
        <v>0.19472186502062999</v>
      </c>
      <c r="K15" s="450">
        <v>0.2</v>
      </c>
      <c r="M15" s="448" t="e">
        <f>Divident_all!#REF!</f>
        <v>#REF!</v>
      </c>
      <c r="N15" s="449">
        <f ca="1">IFERROR(__xludf.DUMMYFUNCTION("GOOGLEFINANCE (""Currency:USDRON"")*Divident_all!L30"),0.1936581895935)</f>
        <v>0.19365818959350001</v>
      </c>
      <c r="O15" s="450">
        <v>0.19</v>
      </c>
      <c r="P15" s="52"/>
      <c r="Q15" s="448" t="e">
        <f>Divident_all!#REF!</f>
        <v>#REF!</v>
      </c>
      <c r="R15" s="449">
        <f ca="1">IFERROR(__xludf.DUMMYFUNCTION("GOOGLEFINANCE (""Currency:USDRON"")*Divident_all!L48"),4.7610937802736)</f>
        <v>4.7610937802736002</v>
      </c>
      <c r="S15" s="449"/>
      <c r="T15" s="52"/>
      <c r="U15" s="448" t="e">
        <f>Divident_all!#REF!</f>
        <v>#REF!</v>
      </c>
      <c r="V15" s="449">
        <f ca="1">IFERROR(__xludf.DUMMYFUNCTION("GOOGLEFINANCE (""Currency:USDRON"")*Divident_all!L40"),2.0113246676655)</f>
        <v>2.0113246676654999</v>
      </c>
      <c r="W15" s="449"/>
      <c r="X15" s="52"/>
      <c r="Y15" s="448"/>
      <c r="Z15" s="449"/>
      <c r="AA15" s="449"/>
      <c r="AB15" s="52"/>
      <c r="AC15" s="448" t="e">
        <f>Divident_all!#REF!</f>
        <v>#REF!</v>
      </c>
      <c r="AD15" s="449">
        <f ca="1">IFERROR(__xludf.DUMMYFUNCTION("GOOGLEFINANCE (""Currency:USDRON"")*Divident_all!L48"),4.7610937802736)</f>
        <v>4.7610937802736002</v>
      </c>
      <c r="AE15" s="451"/>
      <c r="AF15" s="167"/>
      <c r="AG15" s="448" t="e">
        <f>Divident_all!#REF!</f>
        <v>#REF!</v>
      </c>
      <c r="AH15" s="449">
        <f ca="1">IFERROR(__xludf.DUMMYFUNCTION("GOOGLEFINANCE (""Currency:USDRON"")*Divident_all!L40"),2.0113246676655)</f>
        <v>2.0113246676654999</v>
      </c>
      <c r="AI15" s="451"/>
      <c r="AJ15" s="167"/>
      <c r="AK15" s="448"/>
      <c r="AL15" s="449"/>
      <c r="AM15" s="451"/>
      <c r="AN15" s="167"/>
      <c r="AO15" s="452" t="e">
        <f>Divident_all!#REF!</f>
        <v>#REF!</v>
      </c>
      <c r="AP15" s="453">
        <f ca="1">IFERROR(__xludf.DUMMYFUNCTION("GOOGLEFINANCE (""Currency:USDRON"")*Divident_all!L48"),4.7610937802736)</f>
        <v>4.7610937802736002</v>
      </c>
      <c r="AQ15" s="451"/>
      <c r="AR15" s="167"/>
      <c r="AS15" s="452" t="e">
        <f>Divident_all!#REF!</f>
        <v>#REF!</v>
      </c>
      <c r="AT15" s="453">
        <f ca="1">IFERROR(__xludf.DUMMYFUNCTION("GOOGLEFINANCE (""Currency:USDRON"")*Divident_all!L40"),2.0113246676655)</f>
        <v>2.0113246676654999</v>
      </c>
      <c r="AU15" s="451"/>
      <c r="AV15" s="167"/>
      <c r="AW15" s="172"/>
    </row>
    <row r="16" spans="1:49" ht="15.75" customHeight="1">
      <c r="A16" s="448" t="e">
        <f>Divident_all!#REF!</f>
        <v>#REF!</v>
      </c>
      <c r="B16" s="449">
        <f ca="1">IFERROR(__xludf.DUMMYFUNCTION("GOOGLEFINANCE (""Currency:USDRON"")*Divident_all!L17"),0.35009862882084)</f>
        <v>0.35009862882083997</v>
      </c>
      <c r="C16" s="450">
        <v>0.15</v>
      </c>
      <c r="D16" s="457"/>
      <c r="E16" s="448" t="e">
        <f>Divident_all!#REF!</f>
        <v>#REF!</v>
      </c>
      <c r="F16" s="449">
        <f ca="1">IFERROR(__xludf.DUMMYFUNCTION("GOOGLEFINANCE (""Currency:USDRON"")*Divident_all!L40"),2.0113246676655)</f>
        <v>2.0113246676654999</v>
      </c>
      <c r="G16" s="450">
        <v>1.58</v>
      </c>
      <c r="H16" s="457"/>
      <c r="I16" s="448" t="e">
        <f>Divident_all!#REF!</f>
        <v>#REF!</v>
      </c>
      <c r="J16" s="449">
        <f ca="1">IFERROR(__xludf.DUMMYFUNCTION("GOOGLEFINANCE (""Currency:USDRON"")*Divident_all!L36"),0.55758699584262)</f>
        <v>0.55758699584261995</v>
      </c>
      <c r="K16" s="450">
        <v>0.26</v>
      </c>
      <c r="L16" s="457"/>
      <c r="M16" s="448"/>
      <c r="N16" s="449"/>
      <c r="O16" s="449"/>
      <c r="P16" s="52"/>
      <c r="Q16" s="448" t="e">
        <f>Divident_all!#REF!</f>
        <v>#REF!</v>
      </c>
      <c r="R16" s="449">
        <f ca="1">IFERROR(__xludf.DUMMYFUNCTION("GOOGLEFINANCE (""Currency:USDRON"")*Divident_all!L52"),0.10316162199312)</f>
        <v>0.10316162199312</v>
      </c>
      <c r="S16" s="449"/>
      <c r="T16" s="52"/>
      <c r="U16" s="448" t="e">
        <f>Divident_all!#REF!</f>
        <v>#REF!</v>
      </c>
      <c r="V16" s="449">
        <f ca="1">IFERROR(__xludf.DUMMYFUNCTION("GOOGLEFINANCE (""Currency:USDRON"")*Divident_all!L42"),0.885893912020799)</f>
        <v>0.88589391202079903</v>
      </c>
      <c r="W16" s="449"/>
      <c r="X16" s="52"/>
      <c r="Y16" s="448" t="e">
        <f>Divident_all!#REF!</f>
        <v>#REF!</v>
      </c>
      <c r="Z16" s="449">
        <f ca="1">IFERROR(__xludf.DUMMYFUNCTION("GOOGLEFINANCE (""Currency:USDRON"")*Divident_all!L17"),0.35009862882084)</f>
        <v>0.35009862882083997</v>
      </c>
      <c r="AA16" s="449"/>
      <c r="AB16" s="52"/>
      <c r="AC16" s="448" t="e">
        <f>Divident_all!#REF!</f>
        <v>#REF!</v>
      </c>
      <c r="AD16" s="449">
        <f ca="1">IFERROR(__xludf.DUMMYFUNCTION("GOOGLEFINANCE (""Currency:USDRON"")*Divident_all!L52"),0.10316162199312)</f>
        <v>0.10316162199312</v>
      </c>
      <c r="AE16" s="451"/>
      <c r="AF16" s="167"/>
      <c r="AG16" s="448" t="e">
        <f>Divident_all!#REF!</f>
        <v>#REF!</v>
      </c>
      <c r="AH16" s="449">
        <f ca="1">IFERROR(__xludf.DUMMYFUNCTION("GOOGLEFINANCE (""Currency:USDRON"")*Divident_all!L42"),0.885893912020799)</f>
        <v>0.88589391202079903</v>
      </c>
      <c r="AI16" s="451"/>
      <c r="AJ16" s="167"/>
      <c r="AK16" s="448" t="e">
        <f>Divident_all!#REF!</f>
        <v>#REF!</v>
      </c>
      <c r="AL16" s="449">
        <f ca="1">IFERROR(__xludf.DUMMYFUNCTION("GOOGLEFINANCE (""Currency:USDRON"")*Divident_all!L17"),0.35009862882084)</f>
        <v>0.35009862882083997</v>
      </c>
      <c r="AM16" s="451"/>
      <c r="AN16" s="167"/>
      <c r="AO16" s="452" t="e">
        <f>Divident_all!#REF!</f>
        <v>#REF!</v>
      </c>
      <c r="AP16" s="453">
        <f ca="1">IFERROR(__xludf.DUMMYFUNCTION("GOOGLEFINANCE (""Currency:USDRON"")*Divident_all!L52"),0.10316162199312)</f>
        <v>0.10316162199312</v>
      </c>
      <c r="AQ16" s="451"/>
      <c r="AR16" s="167"/>
      <c r="AS16" s="452" t="e">
        <f>Divident_all!#REF!</f>
        <v>#REF!</v>
      </c>
      <c r="AT16" s="453">
        <f ca="1">IFERROR(__xludf.DUMMYFUNCTION("GOOGLEFINANCE (""Currency:USDRON"")*Divident_all!L42"),0.885893912020799)</f>
        <v>0.88589391202079903</v>
      </c>
      <c r="AU16" s="451"/>
      <c r="AV16" s="167"/>
      <c r="AW16" s="172"/>
    </row>
    <row r="17" spans="1:49" ht="15.75" customHeight="1">
      <c r="A17" s="448" t="e">
        <f>Divident_all!#REF!</f>
        <v>#REF!</v>
      </c>
      <c r="B17" s="449">
        <f ca="1">IFERROR(__xludf.DUMMYFUNCTION("GOOGLEFINANCE (""Currency:USDRON"")*Divident_all!L19"),0.23016445632)</f>
        <v>0.23016445631999999</v>
      </c>
      <c r="C17" s="450">
        <v>0.11</v>
      </c>
      <c r="D17" s="458"/>
      <c r="E17" s="448" t="e">
        <f>Divident_all!#REF!</f>
        <v>#REF!</v>
      </c>
      <c r="F17" s="449">
        <f ca="1">IFERROR(__xludf.DUMMYFUNCTION("GOOGLEFINANCE (""Currency:USDRON"")*Divident_all!L44"),0.9558798416379)</f>
        <v>0.95587984163789996</v>
      </c>
      <c r="G17" s="450">
        <v>0.56999999999999995</v>
      </c>
      <c r="H17" s="458"/>
      <c r="I17" s="448" t="e">
        <f>Divident_all!#REF!</f>
        <v>#REF!</v>
      </c>
      <c r="J17" s="449">
        <f ca="1">IFERROR(__xludf.DUMMYFUNCTION("GOOGLEFINANCE (""Currency:USDRON"")*Divident_all!L40"),2.0113246676655)</f>
        <v>2.0113246676654999</v>
      </c>
      <c r="K17" s="450">
        <v>1.6</v>
      </c>
      <c r="L17" s="458"/>
      <c r="M17" s="448" t="e">
        <f>Divident_all!#REF!</f>
        <v>#REF!</v>
      </c>
      <c r="N17" s="449">
        <f ca="1">IFERROR(__xludf.DUMMYFUNCTION("GOOGLEFINANCE (""Currency:USDRON"")*Divident_all!L17"),0.35009862882084)</f>
        <v>0.35009862882083997</v>
      </c>
      <c r="O17" s="450">
        <v>0.35</v>
      </c>
      <c r="P17" s="52"/>
      <c r="Q17" s="448" t="e">
        <f>Divident_all!#REF!</f>
        <v>#REF!</v>
      </c>
      <c r="R17" s="449">
        <f ca="1">IFERROR(__xludf.DUMMYFUNCTION("GOOGLEFINANCE (""Currency:USDRON"")*Divident_all!L56"),0.72971159878584)</f>
        <v>0.72971159878584002</v>
      </c>
      <c r="S17" s="449"/>
      <c r="T17" s="52"/>
      <c r="U17" s="448" t="e">
        <f>Divident_all!#REF!</f>
        <v>#REF!</v>
      </c>
      <c r="V17" s="449">
        <f ca="1">IFERROR(__xludf.DUMMYFUNCTION("GOOGLEFINANCE (""Currency:USDRON"")*Divident_all!L44"),0.9558798416379)</f>
        <v>0.95587984163789996</v>
      </c>
      <c r="W17" s="449"/>
      <c r="X17" s="52"/>
      <c r="Y17" s="448" t="e">
        <f>Divident_all!#REF!</f>
        <v>#REF!</v>
      </c>
      <c r="Z17" s="449">
        <f ca="1">IFERROR(__xludf.DUMMYFUNCTION("GOOGLEFINANCE (""Currency:USDRON"")*Divident_all!L19"),0.23016445632)</f>
        <v>0.23016445631999999</v>
      </c>
      <c r="AA17" s="449"/>
      <c r="AB17" s="52"/>
      <c r="AC17" s="448" t="e">
        <f>Divident_all!#REF!</f>
        <v>#REF!</v>
      </c>
      <c r="AD17" s="449">
        <f ca="1">IFERROR(__xludf.DUMMYFUNCTION("GOOGLEFINANCE (""Currency:USDRON"")*Divident_all!L56"),0.72971159878584)</f>
        <v>0.72971159878584002</v>
      </c>
      <c r="AE17" s="451"/>
      <c r="AF17" s="167"/>
      <c r="AG17" s="448" t="e">
        <f>Divident_all!#REF!</f>
        <v>#REF!</v>
      </c>
      <c r="AH17" s="449">
        <f ca="1">IFERROR(__xludf.DUMMYFUNCTION("GOOGLEFINANCE (""Currency:USDRON"")*Divident_all!L44"),0.9558798416379)</f>
        <v>0.95587984163789996</v>
      </c>
      <c r="AI17" s="451"/>
      <c r="AJ17" s="167"/>
      <c r="AK17" s="448" t="e">
        <f>Divident_all!#REF!</f>
        <v>#REF!</v>
      </c>
      <c r="AL17" s="449">
        <f ca="1">IFERROR(__xludf.DUMMYFUNCTION("GOOGLEFINANCE (""Currency:USDRON"")*Divident_all!L19"),0.23016445632)</f>
        <v>0.23016445631999999</v>
      </c>
      <c r="AM17" s="451"/>
      <c r="AN17" s="167"/>
      <c r="AO17" s="452" t="e">
        <f>Divident_all!#REF!</f>
        <v>#REF!</v>
      </c>
      <c r="AP17" s="453">
        <f ca="1">IFERROR(__xludf.DUMMYFUNCTION("GOOGLEFINANCE (""Currency:USDRON"")*Divident_all!L55"),0.9657891612738)</f>
        <v>0.96578916127379999</v>
      </c>
      <c r="AQ17" s="451"/>
      <c r="AR17" s="167"/>
      <c r="AS17" s="452" t="e">
        <f>Divident_all!#REF!</f>
        <v>#REF!</v>
      </c>
      <c r="AT17" s="453">
        <f ca="1">IFERROR(__xludf.DUMMYFUNCTION("GOOGLEFINANCE (""Currency:USDRON"")*Divident_all!L44"),0.9558798416379)</f>
        <v>0.95587984163789996</v>
      </c>
      <c r="AU17" s="451"/>
      <c r="AV17" s="167"/>
      <c r="AW17" s="172"/>
    </row>
    <row r="18" spans="1:49" ht="12.75">
      <c r="C18" s="449"/>
      <c r="E18" s="448" t="e">
        <f>Divident_all!#REF!</f>
        <v>#REF!</v>
      </c>
      <c r="F18" s="449">
        <f ca="1">IFERROR(__xludf.DUMMYFUNCTION("GOOGLEFINANCE (""Currency:USDRON"")*Divident_all!L52"),0.10316162199312)</f>
        <v>0.10316162199312</v>
      </c>
      <c r="G18" s="450">
        <v>0.05</v>
      </c>
      <c r="I18" s="448" t="e">
        <f>Divident_all!#REF!</f>
        <v>#REF!</v>
      </c>
      <c r="J18" s="449">
        <f ca="1">IFERROR(__xludf.DUMMYFUNCTION("GOOGLEFINANCE (""Currency:USDRON"")*Divident_all!L42"),0.885893912020799)</f>
        <v>0.88589391202079903</v>
      </c>
      <c r="K18" s="450">
        <v>0.91</v>
      </c>
      <c r="M18" s="448" t="e">
        <f>Divident_all!#REF!</f>
        <v>#REF!</v>
      </c>
      <c r="N18" s="449">
        <f ca="1">IFERROR(__xludf.DUMMYFUNCTION("GOOGLEFINANCE (""Currency:USDRON"")*Divident_all!L19"),0.23016445632)</f>
        <v>0.23016445631999999</v>
      </c>
      <c r="O18" s="450">
        <v>0.23</v>
      </c>
      <c r="P18" s="52"/>
      <c r="Q18" s="448" t="e">
        <f>Divident_all!#REF!</f>
        <v>#REF!</v>
      </c>
      <c r="R18" s="449">
        <f ca="1">IFERROR(__xludf.DUMMYFUNCTION("GOOGLEFINANCE (""Currency:USDRON"")*Divident_all!L57"),1.3865127738363)</f>
        <v>1.3865127738362999</v>
      </c>
      <c r="S18" s="450">
        <v>1.39</v>
      </c>
      <c r="T18" s="52"/>
      <c r="U18" s="448" t="e">
        <f>Divident_all!#REF!</f>
        <v>#REF!</v>
      </c>
      <c r="V18" s="449">
        <f ca="1">IFERROR(__xludf.DUMMYFUNCTION("GOOGLEFINANCE (""Currency:USDRON"")*Divident_all!L49"),0.31895551512)</f>
        <v>0.31895551511999998</v>
      </c>
      <c r="W18" s="449"/>
      <c r="X18" s="52"/>
      <c r="Y18" s="448" t="e">
        <f>Divident_all!#REF!</f>
        <v>#REF!</v>
      </c>
      <c r="Z18" s="449">
        <f ca="1">IFERROR(__xludf.DUMMYFUNCTION("GOOGLEFINANCE (""Currency:USDRON"")*Divident_all!L41"),0.292053675794399)</f>
        <v>0.292053675794399</v>
      </c>
      <c r="AA18" s="449"/>
      <c r="AB18" s="52"/>
      <c r="AC18" s="448" t="e">
        <f>Divident_all!#REF!</f>
        <v>#REF!</v>
      </c>
      <c r="AD18" s="449">
        <f ca="1">IFERROR(__xludf.DUMMYFUNCTION("GOOGLEFINANCE (""Currency:USDRON"")*Divident_all!L57"),1.3865127738363)</f>
        <v>1.3865127738362999</v>
      </c>
      <c r="AE18" s="451"/>
      <c r="AF18" s="167"/>
      <c r="AG18" s="448" t="e">
        <f>Divident_all!#REF!</f>
        <v>#REF!</v>
      </c>
      <c r="AH18" s="449">
        <f ca="1">IFERROR(__xludf.DUMMYFUNCTION("GOOGLEFINANCE (""Currency:USDRON"")*Divident_all!L49"),0.31895551512)</f>
        <v>0.31895551511999998</v>
      </c>
      <c r="AI18" s="451"/>
      <c r="AJ18" s="167"/>
      <c r="AK18" s="448" t="e">
        <f>Divident_all!#REF!</f>
        <v>#REF!</v>
      </c>
      <c r="AL18" s="449">
        <f ca="1">IFERROR(__xludf.DUMMYFUNCTION("GOOGLEFINANCE (""Currency:USDRON"")*Divident_all!L41"),0.292053675794399)</f>
        <v>0.292053675794399</v>
      </c>
      <c r="AM18" s="451"/>
      <c r="AN18" s="167"/>
      <c r="AO18" s="452" t="e">
        <f>Divident_all!#REF!</f>
        <v>#REF!</v>
      </c>
      <c r="AP18" s="453">
        <f ca="1">IFERROR(__xludf.DUMMYFUNCTION("GOOGLEFINANCE (""Currency:USDRON"")*Divident_all!L56"),0.72971159878584)</f>
        <v>0.72971159878584002</v>
      </c>
      <c r="AQ18" s="451"/>
      <c r="AR18" s="167"/>
      <c r="AS18" s="452" t="e">
        <f>Divident_all!#REF!</f>
        <v>#REF!</v>
      </c>
      <c r="AT18" s="453">
        <f ca="1">IFERROR(__xludf.DUMMYFUNCTION("GOOGLEFINANCE (""Currency:USDRON"")*Divident_all!L49"),0.31895551512)</f>
        <v>0.31895551511999998</v>
      </c>
      <c r="AU18" s="451"/>
      <c r="AV18" s="167"/>
      <c r="AW18" s="172"/>
    </row>
    <row r="19" spans="1:49" ht="12.75">
      <c r="A19" s="448" t="e">
        <f>Divident_all!#REF!</f>
        <v>#REF!</v>
      </c>
      <c r="B19" s="449">
        <f ca="1">IFERROR(__xludf.DUMMYFUNCTION("GOOGLEFINANCE (""Currency:USDRON"")*Divident_all!L31"),0.37568547095562)</f>
        <v>0.37568547095561999</v>
      </c>
      <c r="C19" s="450">
        <v>0.31</v>
      </c>
      <c r="E19" s="448" t="e">
        <f>Divident_all!#REF!</f>
        <v>#REF!</v>
      </c>
      <c r="F19" s="449">
        <f ca="1">IFERROR(__xludf.DUMMYFUNCTION("GOOGLEFINANCE (""Currency:USDRON"")*Divident_all!L45"),1.239067351863)</f>
        <v>1.239067351863</v>
      </c>
      <c r="G19" s="450">
        <v>0.92</v>
      </c>
      <c r="I19" s="448" t="e">
        <f>Divident_all!#REF!</f>
        <v>#REF!</v>
      </c>
      <c r="J19" s="449">
        <f ca="1">IFERROR(__xludf.DUMMYFUNCTION("GOOGLEFINANCE (""Currency:USDRON"")*Divident_all!L46"),1.3726661785146)</f>
        <v>1.3726661785145999</v>
      </c>
      <c r="K19" s="450">
        <v>1.36</v>
      </c>
      <c r="M19" s="448" t="e">
        <f>Divident_all!#REF!</f>
        <v>#REF!</v>
      </c>
      <c r="N19" s="449">
        <f ca="1">IFERROR(__xludf.DUMMYFUNCTION("GOOGLEFINANCE (""Currency:USDRON"")*Divident_all!L41"),0.292053675794399)</f>
        <v>0.292053675794399</v>
      </c>
      <c r="O19" s="450">
        <v>0.28999999999999998</v>
      </c>
      <c r="P19" s="52"/>
      <c r="Q19" s="448" t="e">
        <f>Divident_all!#REF!</f>
        <v>#REF!</v>
      </c>
      <c r="R19" s="449">
        <f ca="1">IFERROR(__xludf.DUMMYFUNCTION("GOOGLEFINANCE (""Currency:USDRON"")*Divident_all!L45"),1.239067351863)</f>
        <v>1.239067351863</v>
      </c>
      <c r="S19" s="449"/>
      <c r="T19" s="52"/>
      <c r="U19" s="448" t="e">
        <f>Divident_all!#REF!</f>
        <v>#REF!</v>
      </c>
      <c r="V19" s="449">
        <f ca="1">IFERROR(__xludf.DUMMYFUNCTION("GOOGLEFINANCE (""Currency:USDRON"")*Divident_all!L46"),1.3726661785146)</f>
        <v>1.3726661785145999</v>
      </c>
      <c r="W19" s="449"/>
      <c r="X19" s="52"/>
      <c r="Y19" s="448" t="e">
        <f>Divident_all!#REF!</f>
        <v>#REF!</v>
      </c>
      <c r="Z19" s="449">
        <f ca="1">IFERROR(__xludf.DUMMYFUNCTION("GOOGLEFINANCE (""Currency:USDRON"")*Divident_all!L31"),0.37568547095562)</f>
        <v>0.37568547095561999</v>
      </c>
      <c r="AA19" s="449"/>
      <c r="AB19" s="52"/>
      <c r="AC19" s="448" t="e">
        <f>Divident_all!#REF!</f>
        <v>#REF!</v>
      </c>
      <c r="AD19" s="449">
        <f ca="1">IFERROR(__xludf.DUMMYFUNCTION("GOOGLEFINANCE (""Currency:USDRON"")*Divident_all!L45"),1.239067351863)</f>
        <v>1.239067351863</v>
      </c>
      <c r="AE19" s="451"/>
      <c r="AF19" s="167"/>
      <c r="AG19" s="448" t="e">
        <f>Divident_all!#REF!</f>
        <v>#REF!</v>
      </c>
      <c r="AH19" s="449">
        <f ca="1">IFERROR(__xludf.DUMMYFUNCTION("GOOGLEFINANCE (""Currency:USDRON"")*Divident_all!L46"),1.3726661785146)</f>
        <v>1.3726661785145999</v>
      </c>
      <c r="AI19" s="451"/>
      <c r="AJ19" s="167"/>
      <c r="AK19" s="448" t="e">
        <f>Divident_all!#REF!</f>
        <v>#REF!</v>
      </c>
      <c r="AL19" s="449">
        <f ca="1">IFERROR(__xludf.DUMMYFUNCTION("GOOGLEFINANCE (""Currency:USDRON"")*Divident_all!L31"),0.37568547095562)</f>
        <v>0.37568547095561999</v>
      </c>
      <c r="AM19" s="451"/>
      <c r="AN19" s="167"/>
      <c r="AO19" s="452" t="e">
        <f>Divident_all!#REF!</f>
        <v>#REF!</v>
      </c>
      <c r="AP19" s="453">
        <f ca="1">IFERROR(__xludf.DUMMYFUNCTION("GOOGLEFINANCE (""Currency:USDRON"")*Divident_all!L45"),1.239067351863)</f>
        <v>1.239067351863</v>
      </c>
      <c r="AQ19" s="451"/>
      <c r="AR19" s="167"/>
      <c r="AS19" s="452" t="e">
        <f>Divident_all!#REF!</f>
        <v>#REF!</v>
      </c>
      <c r="AT19" s="453">
        <f ca="1">IFERROR(__xludf.DUMMYFUNCTION("GOOGLEFINANCE (""Currency:USDRON"")*Divident_all!L46"),1.3726661785146)</f>
        <v>1.3726661785145999</v>
      </c>
      <c r="AU19" s="451"/>
      <c r="AV19" s="167"/>
      <c r="AW19" s="172"/>
    </row>
    <row r="20" spans="1:49" ht="12.75">
      <c r="A20" s="448" t="e">
        <f>Divident_all!#REF!</f>
        <v>#REF!</v>
      </c>
      <c r="B20" s="449">
        <f ca="1">IFERROR(__xludf.DUMMYFUNCTION("GOOGLEFINANCE (""Currency:USDRON"")*Divident_all!L61"),0.57961125774225)</f>
        <v>0.57961125774224997</v>
      </c>
      <c r="C20" s="450">
        <v>0.3</v>
      </c>
      <c r="E20" s="448" t="e">
        <f>Divident_all!#REF!</f>
        <v>#REF!</v>
      </c>
      <c r="F20" s="449">
        <f ca="1">IFERROR(__xludf.DUMMYFUNCTION("GOOGLEFINANCE (""Currency:USDRON"")*Divident_all!L13"),1.43457714093095)</f>
        <v>1.43457714093095</v>
      </c>
      <c r="G20" s="450">
        <v>0.95</v>
      </c>
      <c r="I20" s="448" t="e">
        <f>Divident_all!#REF!</f>
        <v>#REF!</v>
      </c>
      <c r="J20" s="449">
        <f ca="1">IFERROR(__xludf.DUMMYFUNCTION("GOOGLEFINANCE (""Currency:USDRON"")*Divident_all!L44"),0.9558798416379)</f>
        <v>0.95587984163789996</v>
      </c>
      <c r="K20" s="450">
        <v>0.7</v>
      </c>
      <c r="M20" s="448" t="e">
        <f>Divident_all!#REF!</f>
        <v>#REF!</v>
      </c>
      <c r="N20" s="449">
        <f ca="1">IFERROR(__xludf.DUMMYFUNCTION("GOOGLEFINANCE (""Currency:USDRON"")*Divident_all!L31"),0.37568547095562)</f>
        <v>0.37568547095561999</v>
      </c>
      <c r="O20" s="450">
        <v>0.38</v>
      </c>
      <c r="P20" s="52"/>
      <c r="Q20" s="448" t="e">
        <f>Divident_all!#REF!</f>
        <v>#REF!</v>
      </c>
      <c r="R20" s="449">
        <f ca="1">IFERROR(__xludf.DUMMYFUNCTION("GOOGLEFINANCE (""Currency:USDRON"")*Divident_all!L58"),1.1444263468812)</f>
        <v>1.1444263468811999</v>
      </c>
      <c r="S20" s="450">
        <v>1.1499999999999999</v>
      </c>
      <c r="T20" s="52"/>
      <c r="U20" s="448" t="e">
        <f>Divident_all!#REF!</f>
        <v>#REF!</v>
      </c>
      <c r="V20" s="449">
        <f ca="1">IFERROR(__xludf.DUMMYFUNCTION("GOOGLEFINANCE (""Currency:USDRON"")*Divident_all!L51"),0.270365537962079)</f>
        <v>0.27036553796207902</v>
      </c>
      <c r="W20" s="449"/>
      <c r="X20" s="52"/>
      <c r="Y20" s="448" t="e">
        <f>Divident_all!#REF!</f>
        <v>#REF!</v>
      </c>
      <c r="Z20" s="449">
        <f ca="1">IFERROR(__xludf.DUMMYFUNCTION("GOOGLEFINANCE (""Currency:USDRON"")*Divident_all!L61"),0.57961125774225)</f>
        <v>0.57961125774224997</v>
      </c>
      <c r="AA20" s="449"/>
      <c r="AB20" s="52"/>
      <c r="AC20" s="448" t="e">
        <f>Divident_all!#REF!</f>
        <v>#REF!</v>
      </c>
      <c r="AD20" s="449">
        <f ca="1">IFERROR(__xludf.DUMMYFUNCTION("GOOGLEFINANCE (""Currency:USDRON"")*Divident_all!L58"),1.1444263468812)</f>
        <v>1.1444263468811999</v>
      </c>
      <c r="AE20" s="451"/>
      <c r="AF20" s="167"/>
      <c r="AG20" s="448" t="e">
        <f>Divident_all!#REF!</f>
        <v>#REF!</v>
      </c>
      <c r="AH20" s="449">
        <f ca="1">IFERROR(__xludf.DUMMYFUNCTION("GOOGLEFINANCE (""Currency:USDRON"")*Divident_all!L51"),0.270365537962079)</f>
        <v>0.27036553796207902</v>
      </c>
      <c r="AI20" s="451"/>
      <c r="AJ20" s="167"/>
      <c r="AK20" s="448"/>
      <c r="AL20" s="449"/>
      <c r="AM20" s="451"/>
      <c r="AN20" s="167"/>
      <c r="AO20" s="452" t="e">
        <f>Divident_all!#REF!</f>
        <v>#REF!</v>
      </c>
      <c r="AP20" s="453">
        <f ca="1">IFERROR(__xludf.DUMMYFUNCTION("GOOGLEFINANCE (""Currency:USDRON"")*Divident_all!L57"),1.3865127738363)</f>
        <v>1.3865127738362999</v>
      </c>
      <c r="AQ20" s="451"/>
      <c r="AR20" s="167"/>
      <c r="AS20" s="452" t="e">
        <f>Divident_all!#REF!</f>
        <v>#REF!</v>
      </c>
      <c r="AT20" s="453">
        <f ca="1">IFERROR(__xludf.DUMMYFUNCTION("GOOGLEFINANCE (""Currency:USDRON"")*Divident_all!L51"),0.270365537962079)</f>
        <v>0.27036553796207902</v>
      </c>
      <c r="AU20" s="451"/>
      <c r="AV20" s="167"/>
      <c r="AW20" s="172"/>
    </row>
    <row r="21" spans="1:49" ht="12.75">
      <c r="A21" s="448"/>
      <c r="B21" s="448"/>
      <c r="C21" s="449"/>
      <c r="E21" s="448" t="e">
        <f>Divident_all!#REF!</f>
        <v>#REF!</v>
      </c>
      <c r="F21" s="449">
        <f ca="1">IFERROR(__xludf.DUMMYFUNCTION("GOOGLEFINANCE (""Currency:USDRON"")*Divident_all!L63"),1.0633581983313)</f>
        <v>1.0633581983313001</v>
      </c>
      <c r="G21" s="450">
        <v>0.81</v>
      </c>
      <c r="I21" s="448" t="e">
        <f>Divident_all!#REF!</f>
        <v>#REF!</v>
      </c>
      <c r="J21" s="449">
        <f ca="1">IFERROR(__xludf.DUMMYFUNCTION("GOOGLEFINANCE (""Currency:USDRON"")*Divident_all!L24"),1.38029479555823)</f>
        <v>1.3802947955582301</v>
      </c>
      <c r="K21" s="450">
        <v>0.84</v>
      </c>
      <c r="M21" s="448" t="e">
        <f>Divident_all!#REF!</f>
        <v>#REF!</v>
      </c>
      <c r="N21" s="449">
        <f ca="1">IFERROR(__xludf.DUMMYFUNCTION("GOOGLEFINANCE (""Currency:USDRON"")*Divident_all!L61"),0.57961125774225)</f>
        <v>0.57961125774224997</v>
      </c>
      <c r="O21" s="450">
        <v>0.57999999999999996</v>
      </c>
      <c r="P21" s="52"/>
      <c r="Q21" s="448" t="e">
        <f>Divident_all!#REF!</f>
        <v>#REF!</v>
      </c>
      <c r="R21" s="449">
        <f ca="1">IFERROR(__xludf.DUMMYFUNCTION("GOOGLEFINANCE (""Currency:USDRON"")*Divident_all!L63"),1.0633581983313)</f>
        <v>1.0633581983313001</v>
      </c>
      <c r="S21" s="449"/>
      <c r="T21" s="52"/>
      <c r="U21" s="448" t="e">
        <f>Divident_all!#REF!</f>
        <v>#REF!</v>
      </c>
      <c r="V21" s="449">
        <f ca="1">IFERROR(__xludf.DUMMYFUNCTION("GOOGLEFINANCE (""Currency:USDRON"")*Divident_all!L24"),1.38029479555823)</f>
        <v>1.3802947955582301</v>
      </c>
      <c r="W21" s="449"/>
      <c r="X21" s="52"/>
      <c r="Y21" s="448"/>
      <c r="Z21" s="449"/>
      <c r="AA21" s="449"/>
      <c r="AB21" s="52"/>
      <c r="AC21" s="448" t="e">
        <f>Divident_all!#REF!</f>
        <v>#REF!</v>
      </c>
      <c r="AD21" s="449">
        <f ca="1">IFERROR(__xludf.DUMMYFUNCTION("GOOGLEFINANCE (""Currency:USDRON"")*Divident_all!L63"),1.0633581983313)</f>
        <v>1.0633581983313001</v>
      </c>
      <c r="AE21" s="451"/>
      <c r="AF21" s="167"/>
      <c r="AG21" s="448" t="e">
        <f>Divident_all!#REF!</f>
        <v>#REF!</v>
      </c>
      <c r="AH21" s="449">
        <f ca="1">IFERROR(__xludf.DUMMYFUNCTION("GOOGLEFINANCE (""Currency:USDRON"")*Divident_all!L24"),1.38029479555823)</f>
        <v>1.3802947955582301</v>
      </c>
      <c r="AI21" s="451"/>
      <c r="AJ21" s="167"/>
      <c r="AK21" s="448" t="e">
        <f>Divident_all!#REF!</f>
        <v>#REF!</v>
      </c>
      <c r="AL21" s="449">
        <f ca="1">IFERROR(__xludf.DUMMYFUNCTION("GOOGLEFINANCE (""Currency:GBPRON"")*Divident_all!L61"),0.732570668660429)</f>
        <v>0.73257066866042897</v>
      </c>
      <c r="AM21" s="451"/>
      <c r="AN21" s="167"/>
      <c r="AO21" s="452" t="e">
        <f>Divident_all!#REF!</f>
        <v>#REF!</v>
      </c>
      <c r="AP21" s="453">
        <f ca="1">IFERROR(__xludf.DUMMYFUNCTION("GOOGLEFINANCE (""Currency:USDRON"")*Divident_all!L63"),1.0633581983313)</f>
        <v>1.0633581983313001</v>
      </c>
      <c r="AQ21" s="451"/>
      <c r="AR21" s="167"/>
      <c r="AS21" s="452" t="e">
        <f>Divident_all!#REF!</f>
        <v>#REF!</v>
      </c>
      <c r="AT21" s="453">
        <f ca="1">IFERROR(__xludf.DUMMYFUNCTION("GOOGLEFINANCE (""Currency:USDRON"")*Divident_all!L24"),1.38029479555823)</f>
        <v>1.3802947955582301</v>
      </c>
      <c r="AU21" s="451"/>
      <c r="AV21" s="167"/>
      <c r="AW21" s="172"/>
    </row>
    <row r="22" spans="1:49" ht="12.75">
      <c r="A22" s="448"/>
      <c r="B22" s="448"/>
      <c r="C22" s="449"/>
      <c r="E22" s="448" t="e">
        <f>Divident_all!#REF!</f>
        <v>#REF!</v>
      </c>
      <c r="F22" s="449">
        <f ca="1">IFERROR(__xludf.DUMMYFUNCTION("GOOGLEFINANCE (""Currency:USDRON"")*Divident_all!L32"),1.293194679156)</f>
        <v>1.2931946791560001</v>
      </c>
      <c r="G22" s="450">
        <v>0.68</v>
      </c>
      <c r="I22" s="448" t="e">
        <f>Divident_all!#REF!</f>
        <v>#REF!</v>
      </c>
      <c r="J22" s="449">
        <f ca="1">IFERROR(__xludf.DUMMYFUNCTION("GOOGLEFINANCE (""Currency:USDRON"")*Divident_all!L59"),1.071149009994)</f>
        <v>1.071149009994</v>
      </c>
      <c r="K22" s="450">
        <v>0.6</v>
      </c>
      <c r="M22" s="448"/>
      <c r="N22" s="449"/>
      <c r="O22" s="449"/>
      <c r="P22" s="52"/>
      <c r="Q22" s="448" t="e">
        <f>Divident_all!#REF!</f>
        <v>#REF!</v>
      </c>
      <c r="R22" s="449">
        <f ca="1">IFERROR(__xludf.DUMMYFUNCTION("GOOGLEFINANCE (""Currency:USDRON"")*Divident_all!L64"),0.6145746993225)</f>
        <v>0.61457469932249997</v>
      </c>
      <c r="S22" s="449"/>
      <c r="T22" s="52"/>
      <c r="U22" s="448" t="e">
        <f>Divident_all!#REF!</f>
        <v>#REF!</v>
      </c>
      <c r="V22" s="449">
        <f ca="1">IFERROR(__xludf.DUMMYFUNCTION("GOOGLEFINANCE (""Currency:USDRON"")*Divident_all!L59"),1.071149009994)</f>
        <v>1.071149009994</v>
      </c>
      <c r="W22" s="449"/>
      <c r="X22" s="52"/>
      <c r="Y22" s="448"/>
      <c r="Z22" s="449"/>
      <c r="AA22" s="449"/>
      <c r="AB22" s="52"/>
      <c r="AC22" s="448" t="e">
        <f>Divident_all!#REF!</f>
        <v>#REF!</v>
      </c>
      <c r="AD22" s="449">
        <f ca="1">IFERROR(__xludf.DUMMYFUNCTION("GOOGLEFINANCE (""Currency:USDRON"")*Divident_all!L64"),0.6145746993225)</f>
        <v>0.61457469932249997</v>
      </c>
      <c r="AE22" s="451"/>
      <c r="AF22" s="167"/>
      <c r="AG22" s="448" t="e">
        <f>Divident_all!#REF!</f>
        <v>#REF!</v>
      </c>
      <c r="AH22" s="449">
        <f ca="1">IFERROR(__xludf.DUMMYFUNCTION("GOOGLEFINANCE (""Currency:USDRON"")*Divident_all!L59"),1.071149009994)</f>
        <v>1.071149009994</v>
      </c>
      <c r="AI22" s="451"/>
      <c r="AJ22" s="167"/>
      <c r="AK22" s="445"/>
      <c r="AL22" s="451"/>
      <c r="AM22" s="451"/>
      <c r="AN22" s="167"/>
      <c r="AO22" s="452" t="e">
        <f>Divident_all!#REF!</f>
        <v>#REF!</v>
      </c>
      <c r="AP22" s="453">
        <f ca="1">IFERROR(__xludf.DUMMYFUNCTION("GOOGLEFINANCE (""Currency:USDRON"")*Divident_all!L64"),0.6145746993225)</f>
        <v>0.61457469932249997</v>
      </c>
      <c r="AQ22" s="451"/>
      <c r="AR22" s="167"/>
      <c r="AS22" s="452" t="e">
        <f>Divident_all!#REF!</f>
        <v>#REF!</v>
      </c>
      <c r="AT22" s="453">
        <f ca="1">IFERROR(__xludf.DUMMYFUNCTION("GOOGLEFINANCE (""Currency:USDRON"")*Divident_all!L59"),1.071149009994)</f>
        <v>1.071149009994</v>
      </c>
      <c r="AU22" s="451"/>
      <c r="AV22" s="167"/>
      <c r="AW22" s="172"/>
    </row>
    <row r="23" spans="1:49" ht="12.75">
      <c r="A23" s="448"/>
      <c r="B23" s="448"/>
      <c r="C23" s="449"/>
      <c r="E23" s="448" t="e">
        <f>Divident_all!#REF!</f>
        <v>#REF!</v>
      </c>
      <c r="F23" s="449">
        <f ca="1">IFERROR(__xludf.DUMMYFUNCTION("GOOGLEFINANCE (""Currency:USDRON"")*Divident_all!L41"),0.292053675794399)</f>
        <v>0.292053675794399</v>
      </c>
      <c r="G23" s="450">
        <v>0.12</v>
      </c>
      <c r="I23" s="448" t="e">
        <f>Divident_all!#REF!</f>
        <v>#REF!</v>
      </c>
      <c r="J23" s="449">
        <f ca="1">IFERROR(__xludf.DUMMYFUNCTION("GOOGLEFINANCE (""Currency:GBPRON"")*Divident_all!L25"),2.04109852722982)</f>
        <v>2.0410985272298201</v>
      </c>
      <c r="K23" s="450">
        <v>1.1100000000000001</v>
      </c>
      <c r="M23" s="448"/>
      <c r="N23" s="449"/>
      <c r="O23" s="449"/>
      <c r="P23" s="52"/>
      <c r="Q23" s="448" t="e">
        <f>Divident_all!#REF!</f>
        <v>#REF!</v>
      </c>
      <c r="R23" s="449">
        <f ca="1">IFERROR(__xludf.DUMMYFUNCTION("GOOGLEFINANCE (""Currency:USDRON"")*Divident_all!L13"),1.43457714093095)</f>
        <v>1.43457714093095</v>
      </c>
      <c r="S23" s="449"/>
      <c r="T23" s="52"/>
      <c r="U23" s="448" t="e">
        <f>Divident_all!#REF!</f>
        <v>#REF!</v>
      </c>
      <c r="V23" s="449">
        <f ca="1">IFERROR(__xludf.DUMMYFUNCTION("GOOGLEFINANCE (""Currency:GBPRON"")*Divident_all!L25"),2.04109852722982)</f>
        <v>2.0410985272298201</v>
      </c>
      <c r="W23" s="449"/>
      <c r="X23" s="52"/>
      <c r="Y23" s="448"/>
      <c r="Z23" s="449"/>
      <c r="AA23" s="449"/>
      <c r="AB23" s="52"/>
      <c r="AC23" s="448" t="e">
        <f>Divident_all!#REF!</f>
        <v>#REF!</v>
      </c>
      <c r="AD23" s="449">
        <f ca="1">IFERROR(__xludf.DUMMYFUNCTION("GOOGLEFINANCE (""Currency:USDRON"")*Divident_all!L13"),1.43457714093095)</f>
        <v>1.43457714093095</v>
      </c>
      <c r="AE23" s="451"/>
      <c r="AF23" s="167"/>
      <c r="AG23" s="448" t="e">
        <f>Divident_all!#REF!</f>
        <v>#REF!</v>
      </c>
      <c r="AH23" s="449">
        <f ca="1">IFERROR(__xludf.DUMMYFUNCTION("GOOGLEFINANCE (""Currency:GBPRON"")*Divident_all!L25"),2.04109852722982)</f>
        <v>2.0410985272298201</v>
      </c>
      <c r="AI23" s="451"/>
      <c r="AJ23" s="167"/>
      <c r="AK23" s="445"/>
      <c r="AL23" s="451"/>
      <c r="AM23" s="451"/>
      <c r="AN23" s="167"/>
      <c r="AO23" s="452" t="e">
        <f>Divident_all!#REF!</f>
        <v>#REF!</v>
      </c>
      <c r="AP23" s="453">
        <f ca="1">IFERROR(__xludf.DUMMYFUNCTION("GOOGLEFINANCE (""Currency:USDRON"")*Divident_all!L58"),1.1444263468812)</f>
        <v>1.1444263468811999</v>
      </c>
      <c r="AQ23" s="451"/>
      <c r="AR23" s="167"/>
      <c r="AS23" s="452" t="e">
        <f>Divident_all!#REF!</f>
        <v>#REF!</v>
      </c>
      <c r="AT23" s="453">
        <f ca="1">IFERROR(__xludf.DUMMYFUNCTION("GOOGLEFINANCE (""Currency:USDRON"")*Divident_all!L25"),1.61492090136073)</f>
        <v>1.61492090136073</v>
      </c>
      <c r="AU23" s="451"/>
      <c r="AV23" s="167"/>
      <c r="AW23" s="172"/>
    </row>
    <row r="24" spans="1:49" ht="12.75">
      <c r="A24" s="448"/>
      <c r="B24" s="448"/>
      <c r="C24" s="449"/>
      <c r="E24" s="454" t="e">
        <f>Divident_all!#REF!</f>
        <v>#REF!</v>
      </c>
      <c r="F24" s="455">
        <f ca="1">IFERROR(__xludf.DUMMYFUNCTION("GOOGLEFINANCE (""Currency:USDRON"")*Divident_special!J31"),2.385304577496)</f>
        <v>2.385304577496</v>
      </c>
      <c r="G24" s="456">
        <v>2.0099999999999998</v>
      </c>
      <c r="I24" s="448" t="e">
        <f>Divident_all!#REF!</f>
        <v>#REF!</v>
      </c>
      <c r="J24" s="449">
        <f ca="1">IFERROR(__xludf.DUMMYFUNCTION("GOOGLEFINANCE (""Currency:CADRON"")*Divident_all!L22"),2.47751285407747)</f>
        <v>2.47751285407747</v>
      </c>
      <c r="K24" s="450">
        <v>1.44</v>
      </c>
      <c r="M24" s="448"/>
      <c r="N24" s="449"/>
      <c r="O24" s="449"/>
      <c r="P24" s="52"/>
      <c r="Q24" s="448"/>
      <c r="R24" s="449"/>
      <c r="S24" s="449"/>
      <c r="T24" s="52"/>
      <c r="U24" s="448" t="e">
        <f>Divident_all!#REF!</f>
        <v>#REF!</v>
      </c>
      <c r="V24" s="449">
        <f ca="1">IFERROR(__xludf.DUMMYFUNCTION("GOOGLEFINANCE (""Currency:CADRON"")*Divident_all!L22"),2.47751285407747)</f>
        <v>2.47751285407747</v>
      </c>
      <c r="W24" s="449"/>
      <c r="X24" s="52"/>
      <c r="Y24" s="448"/>
      <c r="Z24" s="449"/>
      <c r="AA24" s="449"/>
      <c r="AB24" s="52"/>
      <c r="AC24" s="448" t="e">
        <f>Divident_all!#REF!</f>
        <v>#REF!</v>
      </c>
      <c r="AD24" s="449">
        <f ca="1">IFERROR(__xludf.DUMMYFUNCTION("GOOGLEFINANCE (""Currency:GBPRON"")*Divident_all!L27"),1.7761485933658)</f>
        <v>1.7761485933658001</v>
      </c>
      <c r="AE24" s="451"/>
      <c r="AF24" s="167"/>
      <c r="AG24" s="448" t="e">
        <f>Divident_all!#REF!</f>
        <v>#REF!</v>
      </c>
      <c r="AH24" s="449">
        <f ca="1">IFERROR(__xludf.DUMMYFUNCTION("GOOGLEFINANCE (""Currency:CADRON"")*Divident_all!L22"),2.47751285407747)</f>
        <v>2.47751285407747</v>
      </c>
      <c r="AI24" s="451"/>
      <c r="AJ24" s="167"/>
      <c r="AK24" s="445"/>
      <c r="AL24" s="451"/>
      <c r="AM24" s="451"/>
      <c r="AN24" s="167"/>
      <c r="AO24" s="452" t="e">
        <f>Divident_all!#REF!</f>
        <v>#REF!</v>
      </c>
      <c r="AP24" s="453">
        <f ca="1">IFERROR(__xludf.DUMMYFUNCTION("GOOGLEFINANCE (""Currency:GBPRON"")*Divident_all!L27"),1.7761485933658)</f>
        <v>1.7761485933658001</v>
      </c>
      <c r="AQ24" s="451"/>
      <c r="AR24" s="167"/>
      <c r="AS24" s="452" t="e">
        <f>Divident_all!#REF!</f>
        <v>#REF!</v>
      </c>
      <c r="AT24" s="453">
        <f ca="1">IFERROR(__xludf.DUMMYFUNCTION("GOOGLEFINANCE (""Currency:CADRON"")*Divident_all!L22"),2.47751285407747)</f>
        <v>2.47751285407747</v>
      </c>
      <c r="AU24" s="451"/>
      <c r="AV24" s="167"/>
      <c r="AW24" s="172"/>
    </row>
    <row r="25" spans="1:49" ht="12.75">
      <c r="A25" s="448"/>
      <c r="B25" s="448"/>
      <c r="C25" s="449"/>
      <c r="E25" s="448"/>
      <c r="F25" s="448"/>
      <c r="G25" s="448"/>
      <c r="I25" s="448" t="e">
        <f>Divident_all!#REF!</f>
        <v>#REF!</v>
      </c>
      <c r="J25" s="449">
        <f ca="1">IFERROR(__xludf.DUMMYFUNCTION("GOOGLEFINANCE (""Currency:USDRON"")*Divident_all!L35"),0.5111457341328)</f>
        <v>0.51114573413279996</v>
      </c>
      <c r="K25" s="450">
        <v>0.24</v>
      </c>
      <c r="M25" s="448"/>
      <c r="N25" s="449"/>
      <c r="O25" s="449"/>
      <c r="P25" s="52"/>
      <c r="Q25" s="448" t="e">
        <f>Divident_all!#REF!</f>
        <v>#REF!</v>
      </c>
      <c r="R25" s="449">
        <f ca="1">IFERROR(__xludf.DUMMYFUNCTION("GOOGLEFINANCE (""Currency:USDRON"")*Divident_all!L32"),1.293194679156)</f>
        <v>1.2931946791560001</v>
      </c>
      <c r="S25" s="449"/>
      <c r="T25" s="52"/>
      <c r="U25" s="448" t="e">
        <f>Divident_all!#REF!</f>
        <v>#REF!</v>
      </c>
      <c r="V25" s="449">
        <f ca="1">IFERROR(__xludf.DUMMYFUNCTION("GOOGLEFINANCE (""Currency:USDRON"")*Divident_all!L35"),0.5111457341328)</f>
        <v>0.51114573413279996</v>
      </c>
      <c r="W25" s="449"/>
      <c r="X25" s="52"/>
      <c r="Y25" s="448"/>
      <c r="Z25" s="449"/>
      <c r="AA25" s="449"/>
      <c r="AB25" s="52"/>
      <c r="AC25" s="448" t="e">
        <f>Divident_all!#REF!</f>
        <v>#REF!</v>
      </c>
      <c r="AD25" s="449">
        <f ca="1">IFERROR(__xludf.DUMMYFUNCTION("GOOGLEFINANCE (""Currency:USDRON"")*Divident_all!L32"),1.293194679156)</f>
        <v>1.2931946791560001</v>
      </c>
      <c r="AE25" s="451"/>
      <c r="AF25" s="167"/>
      <c r="AG25" s="448" t="e">
        <f>Divident_all!#REF!</f>
        <v>#REF!</v>
      </c>
      <c r="AH25" s="449">
        <f ca="1">IFERROR(__xludf.DUMMYFUNCTION("GOOGLEFINANCE (""Currency:USDRON"")*Divident_all!L35"),0.5111457341328)</f>
        <v>0.51114573413279996</v>
      </c>
      <c r="AI25" s="451"/>
      <c r="AJ25" s="167"/>
      <c r="AK25" s="445"/>
      <c r="AL25" s="451"/>
      <c r="AM25" s="451"/>
      <c r="AN25" s="167"/>
      <c r="AO25" s="452" t="e">
        <f>Divident_all!#REF!</f>
        <v>#REF!</v>
      </c>
      <c r="AP25" s="453">
        <f ca="1">IFERROR(__xludf.DUMMYFUNCTION("GOOGLEFINANCE (""Currency:USDRON"")*Divident_all!L13"),1.43457714093095)</f>
        <v>1.43457714093095</v>
      </c>
      <c r="AQ25" s="451"/>
      <c r="AR25" s="167"/>
      <c r="AS25" s="452" t="e">
        <f>Divident_all!#REF!</f>
        <v>#REF!</v>
      </c>
      <c r="AT25" s="453">
        <f ca="1">IFERROR(__xludf.DUMMYFUNCTION("GOOGLEFINANCE (""Currency:USDRON"")*Divident_all!L35"),0.5111457341328)</f>
        <v>0.51114573413279996</v>
      </c>
      <c r="AU25" s="451"/>
      <c r="AV25" s="167"/>
      <c r="AW25" s="172"/>
    </row>
    <row r="26" spans="1:49" ht="12.75">
      <c r="A26" s="448"/>
      <c r="B26" s="448"/>
      <c r="C26" s="449"/>
      <c r="E26" s="448"/>
      <c r="F26" s="448"/>
      <c r="G26" s="448"/>
      <c r="I26" s="448" t="e">
        <f>Divident_all!#REF!</f>
        <v>#REF!</v>
      </c>
      <c r="J26" s="449">
        <f ca="1">IFERROR(__xludf.DUMMYFUNCTION("GOOGLEFINANCE (""Currency:USDRON"")*Divident_all!L34"),0.31962005541792)</f>
        <v>0.31962005541791999</v>
      </c>
      <c r="K26" s="450">
        <v>0.12</v>
      </c>
      <c r="M26" s="448"/>
      <c r="N26" s="449"/>
      <c r="O26" s="449"/>
      <c r="P26" s="52"/>
      <c r="Q26" s="448"/>
      <c r="R26" s="449"/>
      <c r="S26" s="449"/>
      <c r="T26" s="52"/>
      <c r="U26" s="448" t="e">
        <f>Divident_all!#REF!</f>
        <v>#REF!</v>
      </c>
      <c r="V26" s="449">
        <f ca="1">IFERROR(__xludf.DUMMYFUNCTION("GOOGLEFINANCE (""Currency:USDRON"")*Divident_all!L34"),0.31962005541792)</f>
        <v>0.31962005541791999</v>
      </c>
      <c r="W26" s="449"/>
      <c r="X26" s="52"/>
      <c r="Y26" s="448"/>
      <c r="Z26" s="449"/>
      <c r="AA26" s="449"/>
      <c r="AB26" s="52"/>
      <c r="AC26" s="448"/>
      <c r="AD26" s="449"/>
      <c r="AE26" s="451"/>
      <c r="AF26" s="167"/>
      <c r="AG26" s="448" t="e">
        <f>Divident_all!#REF!</f>
        <v>#REF!</v>
      </c>
      <c r="AH26" s="449">
        <f ca="1">IFERROR(__xludf.DUMMYFUNCTION("GOOGLEFINANCE (""Currency:USDRON"")*Divident_all!L34"),0.31962005541792)</f>
        <v>0.31962005541791999</v>
      </c>
      <c r="AI26" s="451"/>
      <c r="AJ26" s="167"/>
      <c r="AK26" s="445"/>
      <c r="AL26" s="451"/>
      <c r="AM26" s="451"/>
      <c r="AN26" s="167"/>
      <c r="AO26" s="452" t="e">
        <f>Divident_all!#REF!</f>
        <v>#REF!</v>
      </c>
      <c r="AP26" s="453">
        <f ca="1">IFERROR(__xludf.DUMMYFUNCTION("GOOGLEFINANCE (""Currency:USDRON"")*Divident_all!L32"),1.293194679156)</f>
        <v>1.2931946791560001</v>
      </c>
      <c r="AQ26" s="451"/>
      <c r="AR26" s="167"/>
      <c r="AS26" s="452" t="e">
        <f>Divident_all!#REF!</f>
        <v>#REF!</v>
      </c>
      <c r="AT26" s="453">
        <f ca="1">IFERROR(__xludf.DUMMYFUNCTION("GOOGLEFINANCE (""Currency:USDRON"")*Divident_all!L34"),0.31962005541792)</f>
        <v>0.31962005541791999</v>
      </c>
      <c r="AU26" s="451"/>
      <c r="AV26" s="167"/>
      <c r="AW26" s="172"/>
    </row>
    <row r="27" spans="1:49" ht="12.75">
      <c r="A27" s="448"/>
      <c r="B27" s="448"/>
      <c r="C27" s="449"/>
      <c r="E27" s="448"/>
      <c r="F27" s="448"/>
      <c r="G27" s="448"/>
      <c r="I27" s="448" t="e">
        <f>Divident_all!#REF!</f>
        <v>#REF!</v>
      </c>
      <c r="J27" s="449">
        <f ca="1">IFERROR(__xludf.DUMMYFUNCTION("GOOGLEFINANCE (""Currency:USDRON"")*Divident_all!L60"),1.08409296732588)</f>
        <v>1.0840929673258799</v>
      </c>
      <c r="K27" s="450">
        <v>0.55000000000000004</v>
      </c>
      <c r="M27" s="448"/>
      <c r="N27" s="449"/>
      <c r="O27" s="449"/>
      <c r="P27" s="52"/>
      <c r="Q27" s="448"/>
      <c r="R27" s="449"/>
      <c r="S27" s="449"/>
      <c r="T27" s="52"/>
      <c r="U27" s="448" t="e">
        <f>Divident_all!#REF!</f>
        <v>#REF!</v>
      </c>
      <c r="V27" s="449">
        <f ca="1">IFERROR(__xludf.DUMMYFUNCTION("GOOGLEFINANCE (""Currency:USDRON"")*Divident_all!L60"),1.08409296732588)</f>
        <v>1.0840929673258799</v>
      </c>
      <c r="W27" s="449"/>
      <c r="X27" s="52"/>
      <c r="Y27" s="448"/>
      <c r="Z27" s="449"/>
      <c r="AA27" s="449"/>
      <c r="AB27" s="52"/>
      <c r="AC27" s="448"/>
      <c r="AD27" s="449"/>
      <c r="AE27" s="451"/>
      <c r="AF27" s="167"/>
      <c r="AG27" s="448" t="e">
        <f>Divident_all!#REF!</f>
        <v>#REF!</v>
      </c>
      <c r="AH27" s="449">
        <f ca="1">IFERROR(__xludf.DUMMYFUNCTION("GOOGLEFINANCE (""Currency:USDRON"")*Divident_all!L60"),1.08409296732588)</f>
        <v>1.0840929673258799</v>
      </c>
      <c r="AI27" s="451"/>
      <c r="AJ27" s="167"/>
      <c r="AK27" s="445"/>
      <c r="AL27" s="451"/>
      <c r="AM27" s="451"/>
      <c r="AN27" s="167"/>
      <c r="AO27" s="452"/>
      <c r="AP27" s="453"/>
      <c r="AQ27" s="451"/>
      <c r="AR27" s="167"/>
      <c r="AS27" s="452" t="e">
        <f>Divident_all!#REF!</f>
        <v>#REF!</v>
      </c>
      <c r="AT27" s="453">
        <f ca="1">IFERROR(__xludf.DUMMYFUNCTION("GOOGLEFINANCE (""Currency:USDRON"")*Divident_all!L60"),1.08409296732588)</f>
        <v>1.0840929673258799</v>
      </c>
      <c r="AU27" s="451"/>
      <c r="AV27" s="167"/>
      <c r="AW27" s="172"/>
    </row>
    <row r="28" spans="1:49" ht="12.75">
      <c r="A28" s="448"/>
      <c r="B28" s="448"/>
      <c r="C28" s="449"/>
      <c r="E28" s="448"/>
      <c r="F28" s="448"/>
      <c r="G28" s="448"/>
      <c r="I28" s="454" t="str">
        <f>Divident_special!B42</f>
        <v>GLPI</v>
      </c>
      <c r="J28" s="455">
        <f ca="1">IFERROR(__xludf.DUMMYFUNCTION("GOOGLEFINANCE (""Currency:USDRON"")*Divident_special!J42"),0.307602052784999)</f>
        <v>0.30760205278499902</v>
      </c>
      <c r="K28" s="456">
        <v>0.31</v>
      </c>
      <c r="M28" s="448"/>
      <c r="N28" s="449"/>
      <c r="O28" s="449"/>
      <c r="P28" s="52"/>
      <c r="Q28" s="448"/>
      <c r="R28" s="449"/>
      <c r="S28" s="449"/>
      <c r="T28" s="52"/>
      <c r="U28" s="448"/>
      <c r="V28" s="449"/>
      <c r="W28" s="449"/>
      <c r="X28" s="52"/>
      <c r="Y28" s="448"/>
      <c r="Z28" s="449"/>
      <c r="AA28" s="449"/>
      <c r="AB28" s="52"/>
      <c r="AC28" s="448"/>
      <c r="AD28" s="449"/>
      <c r="AE28" s="451"/>
      <c r="AF28" s="167"/>
      <c r="AG28" s="448"/>
      <c r="AH28" s="449"/>
      <c r="AI28" s="451"/>
      <c r="AJ28" s="167"/>
      <c r="AK28" s="445"/>
      <c r="AL28" s="451"/>
      <c r="AM28" s="451"/>
      <c r="AN28" s="167"/>
      <c r="AO28" s="452"/>
      <c r="AP28" s="453"/>
      <c r="AQ28" s="451"/>
      <c r="AR28" s="167"/>
      <c r="AS28" s="452" t="e">
        <f>Divident_all!#REF!</f>
        <v>#REF!</v>
      </c>
      <c r="AT28" s="453">
        <f ca="1">IFERROR(__xludf.DUMMYFUNCTION("GOOGLEFINANCE (""Currency:USDRON"")*Divident_all!L53"),1.49341072438871)</f>
        <v>1.49341072438871</v>
      </c>
      <c r="AU28" s="451"/>
      <c r="AV28" s="167"/>
      <c r="AW28" s="172"/>
    </row>
    <row r="29" spans="1:49" ht="12.75">
      <c r="A29" s="448"/>
      <c r="B29" s="448"/>
      <c r="C29" s="449"/>
      <c r="E29" s="448"/>
      <c r="F29" s="448"/>
      <c r="G29" s="448"/>
      <c r="I29" s="448" t="e">
        <f>Divident_all!#REF!</f>
        <v>#REF!</v>
      </c>
      <c r="J29" s="449">
        <f ca="1">IFERROR(__xludf.DUMMYFUNCTION("GOOGLEFINANCE (""Currency:GBPRON"")*Divident_all!L27"),1.7761485933658)</f>
        <v>1.7761485933658001</v>
      </c>
      <c r="K29" s="450">
        <v>0.82</v>
      </c>
      <c r="M29" s="448"/>
      <c r="N29" s="449"/>
      <c r="O29" s="449"/>
      <c r="P29" s="52"/>
      <c r="Q29" s="448"/>
      <c r="R29" s="449"/>
      <c r="S29" s="449"/>
      <c r="T29" s="52"/>
      <c r="U29" s="448" t="e">
        <f>Divident_all!#REF!</f>
        <v>#REF!</v>
      </c>
      <c r="V29" s="449">
        <f ca="1">IFERROR(__xludf.DUMMYFUNCTION("GOOGLEFINANCE (""Currency:GBPRON"")*Divident_all!L27"),1.7761485933658)</f>
        <v>1.7761485933658001</v>
      </c>
      <c r="W29" s="449"/>
      <c r="X29" s="52"/>
      <c r="Y29" s="448"/>
      <c r="Z29" s="449"/>
      <c r="AA29" s="449"/>
      <c r="AB29" s="52"/>
      <c r="AC29" s="448"/>
      <c r="AD29" s="449"/>
      <c r="AE29" s="451"/>
      <c r="AF29" s="167"/>
      <c r="AG29" s="448"/>
      <c r="AH29" s="449"/>
      <c r="AI29" s="451"/>
      <c r="AJ29" s="167"/>
      <c r="AK29" s="445"/>
      <c r="AL29" s="451"/>
      <c r="AM29" s="451"/>
      <c r="AN29" s="167"/>
      <c r="AO29" s="452"/>
      <c r="AP29" s="453"/>
      <c r="AQ29" s="451"/>
      <c r="AR29" s="167"/>
      <c r="AS29" s="452"/>
      <c r="AT29" s="453"/>
      <c r="AU29" s="451"/>
      <c r="AV29" s="167"/>
      <c r="AW29" s="172"/>
    </row>
    <row r="30" spans="1:49" ht="12.75">
      <c r="A30" s="448"/>
      <c r="B30" s="448"/>
      <c r="C30" s="449"/>
      <c r="E30" s="448"/>
      <c r="F30" s="448"/>
      <c r="G30" s="448"/>
      <c r="I30" s="448" t="e">
        <f>Divident_all!#REF!</f>
        <v>#REF!</v>
      </c>
      <c r="J30" s="449">
        <f ca="1">IFERROR(__xludf.DUMMYFUNCTION("GOOGLEFINANCE (""Currency:USDRON"")*Divident_all!L62"),0.2904320113524)</f>
        <v>0.29043201135239999</v>
      </c>
      <c r="K30" s="450">
        <v>0.12</v>
      </c>
      <c r="M30" s="448"/>
      <c r="N30" s="449"/>
      <c r="O30" s="449"/>
      <c r="P30" s="52"/>
      <c r="Q30" s="448"/>
      <c r="R30" s="449"/>
      <c r="S30" s="449"/>
      <c r="T30" s="52"/>
      <c r="U30" s="448" t="e">
        <f>Divident_all!#REF!</f>
        <v>#REF!</v>
      </c>
      <c r="V30" s="449">
        <f ca="1">IFERROR(__xludf.DUMMYFUNCTION("GOOGLEFINANCE (""Currency:USDRON"")*Divident_all!L62"),0.2904320113524)</f>
        <v>0.29043201135239999</v>
      </c>
      <c r="W30" s="449"/>
      <c r="X30" s="52"/>
      <c r="Y30" s="448"/>
      <c r="Z30" s="449"/>
      <c r="AA30" s="449"/>
      <c r="AB30" s="52"/>
      <c r="AC30" s="448"/>
      <c r="AD30" s="449"/>
      <c r="AE30" s="451"/>
      <c r="AF30" s="167"/>
      <c r="AG30" s="448" t="e">
        <f>Divident_all!#REF!</f>
        <v>#REF!</v>
      </c>
      <c r="AH30" s="449">
        <f ca="1">IFERROR(__xludf.DUMMYFUNCTION("GOOGLEFINANCE (""Currency:USDRON"")*Divident_all!L62"),0.2904320113524)</f>
        <v>0.29043201135239999</v>
      </c>
      <c r="AI30" s="451"/>
      <c r="AJ30" s="167"/>
      <c r="AK30" s="445"/>
      <c r="AL30" s="451"/>
      <c r="AM30" s="451"/>
      <c r="AN30" s="167"/>
      <c r="AO30" s="452"/>
      <c r="AP30" s="453"/>
      <c r="AQ30" s="451"/>
      <c r="AR30" s="167"/>
      <c r="AS30" s="452" t="e">
        <f>Divident_all!#REF!</f>
        <v>#REF!</v>
      </c>
      <c r="AT30" s="453">
        <f ca="1">IFERROR(__xludf.DUMMYFUNCTION("GOOGLEFINANCE (""Currency:USDRON"")*Divident_all!L62"),0.2904320113524)</f>
        <v>0.29043201135239999</v>
      </c>
      <c r="AU30" s="451"/>
      <c r="AV30" s="167"/>
      <c r="AW30" s="172"/>
    </row>
    <row r="31" spans="1:49" ht="12.75">
      <c r="A31" s="448"/>
      <c r="B31" s="448"/>
      <c r="C31" s="449"/>
      <c r="E31" s="448"/>
      <c r="F31" s="448"/>
      <c r="G31" s="448"/>
      <c r="I31" s="448" t="e">
        <f>Divident_all!#REF!</f>
        <v>#REF!</v>
      </c>
      <c r="J31" s="449">
        <f ca="1">IFERROR(__xludf.DUMMYFUNCTION("GOOGLEFINANCE (""Currency:USDRON"")*Divident_all!L48"),4.7610937802736)</f>
        <v>4.7610937802736002</v>
      </c>
      <c r="K31" s="450">
        <v>2.36</v>
      </c>
      <c r="M31" s="448"/>
      <c r="N31" s="449"/>
      <c r="O31" s="449"/>
      <c r="P31" s="52"/>
      <c r="Q31" s="448"/>
      <c r="R31" s="448"/>
      <c r="S31" s="449"/>
      <c r="T31" s="52"/>
      <c r="U31" s="448" t="e">
        <f>Divident_all!#REF!</f>
        <v>#REF!</v>
      </c>
      <c r="V31" s="449">
        <f ca="1">IFERROR(__xludf.DUMMYFUNCTION("GOOGLEFINANCE (""Currency:USDRON"")*Divident_all!L53"),1.49341072438871)</f>
        <v>1.49341072438871</v>
      </c>
      <c r="W31" s="449"/>
      <c r="X31" s="52"/>
      <c r="Y31" s="448"/>
      <c r="Z31" s="449"/>
      <c r="AA31" s="449"/>
      <c r="AB31" s="52"/>
      <c r="AC31" s="448"/>
      <c r="AD31" s="448"/>
      <c r="AE31" s="451"/>
      <c r="AF31" s="446"/>
      <c r="AG31" s="448" t="e">
        <f>Divident_all!#REF!</f>
        <v>#REF!</v>
      </c>
      <c r="AH31" s="449">
        <f ca="1">IFERROR(__xludf.DUMMYFUNCTION("GOOGLEFINANCE (""Currency:USDRON"")*Divident_all!L53"),1.49341072438871)</f>
        <v>1.49341072438871</v>
      </c>
      <c r="AI31" s="451"/>
      <c r="AJ31" s="446"/>
      <c r="AK31" s="445"/>
      <c r="AL31" s="451"/>
      <c r="AM31" s="451"/>
      <c r="AN31" s="446"/>
      <c r="AO31" s="448"/>
      <c r="AP31" s="448"/>
      <c r="AQ31" s="448"/>
      <c r="AR31" s="446"/>
      <c r="AS31" s="452" t="e">
        <f>Divident_all!#REF!</f>
        <v>#REF!</v>
      </c>
      <c r="AT31" s="453">
        <f ca="1">IFERROR(__xludf.DUMMYFUNCTION("GOOGLEFINANCE (""Currency:GBPRON"")*Divident_all!L53"),1.8875218145549)</f>
        <v>1.8875218145549</v>
      </c>
      <c r="AU31" s="451"/>
      <c r="AV31" s="446"/>
      <c r="AW31" s="172"/>
    </row>
    <row r="32" spans="1:49">
      <c r="A32" s="448"/>
      <c r="B32" s="448"/>
      <c r="C32" s="449"/>
      <c r="D32" s="459" t="s">
        <v>211</v>
      </c>
      <c r="E32" s="448"/>
      <c r="F32" s="448"/>
      <c r="G32" s="448"/>
      <c r="H32" s="459" t="s">
        <v>211</v>
      </c>
      <c r="I32" s="448" t="e">
        <f>Divident_all!#REF!</f>
        <v>#REF!</v>
      </c>
      <c r="J32" s="449">
        <f ca="1">IFERROR(__xludf.DUMMYFUNCTION("GOOGLEFINANCE (""Currency:USDRON"")*Divident_all!L49"),0.31895551512)</f>
        <v>0.31895551511999998</v>
      </c>
      <c r="K32" s="450">
        <v>0.3</v>
      </c>
      <c r="L32" s="459" t="s">
        <v>211</v>
      </c>
      <c r="M32" s="448"/>
      <c r="N32" s="449"/>
      <c r="O32" s="449"/>
      <c r="P32" s="459" t="s">
        <v>211</v>
      </c>
      <c r="Q32" s="448"/>
      <c r="R32" s="449"/>
      <c r="S32" s="449"/>
      <c r="T32" s="459" t="s">
        <v>211</v>
      </c>
      <c r="U32" s="448" t="e">
        <f>Divident_all!#REF!</f>
        <v>#REF!</v>
      </c>
      <c r="V32" s="449">
        <f ca="1">IFERROR(__xludf.DUMMYFUNCTION("GOOGLEFINANCE (""Currency:USDRON"")*Divident_all!L54"),0.70999452585936)</f>
        <v>0.70999452585935996</v>
      </c>
      <c r="W32" s="449"/>
      <c r="X32" s="459" t="s">
        <v>211</v>
      </c>
      <c r="Y32" s="448"/>
      <c r="Z32" s="449"/>
      <c r="AA32" s="449"/>
      <c r="AB32" s="459" t="s">
        <v>211</v>
      </c>
      <c r="AC32" s="452"/>
      <c r="AD32" s="460"/>
      <c r="AE32" s="451"/>
      <c r="AF32" s="461" t="s">
        <v>211</v>
      </c>
      <c r="AG32" s="448" t="e">
        <f>Divident_all!#REF!</f>
        <v>#REF!</v>
      </c>
      <c r="AH32" s="449">
        <f ca="1">IFERROR(__xludf.DUMMYFUNCTION("GOOGLEFINANCE (""Currency:USDRON"")*Divident_all!L54"),0.70999452585936)</f>
        <v>0.70999452585935996</v>
      </c>
      <c r="AI32" s="451"/>
      <c r="AJ32" s="461" t="s">
        <v>211</v>
      </c>
      <c r="AK32" s="445"/>
      <c r="AL32" s="451"/>
      <c r="AM32" s="451"/>
      <c r="AN32" s="461" t="s">
        <v>211</v>
      </c>
      <c r="AO32" s="448"/>
      <c r="AP32" s="448"/>
      <c r="AQ32" s="448"/>
      <c r="AR32" s="461" t="s">
        <v>211</v>
      </c>
      <c r="AS32" s="452" t="e">
        <f>Divident_all!#REF!</f>
        <v>#REF!</v>
      </c>
      <c r="AT32" s="453">
        <f ca="1">IFERROR(__xludf.DUMMYFUNCTION("GOOGLEFINANCE (""Currency:USDRON"")*Divident_all!L54"),0.70999452585936)</f>
        <v>0.70999452585935996</v>
      </c>
      <c r="AU32" s="451"/>
      <c r="AV32" s="461" t="s">
        <v>211</v>
      </c>
      <c r="AW32" s="172"/>
    </row>
    <row r="33" spans="1:49">
      <c r="A33" s="448"/>
      <c r="B33" s="448"/>
      <c r="C33" s="449"/>
      <c r="D33" s="462">
        <f>SUM(C2:C35)</f>
        <v>8.1300000000000008</v>
      </c>
      <c r="E33" s="448"/>
      <c r="F33" s="448"/>
      <c r="G33" s="448"/>
      <c r="H33" s="462">
        <f>SUM(G2:G35)</f>
        <v>14.629999999999999</v>
      </c>
      <c r="I33" s="448" t="e">
        <f>Divident_all!#REF!</f>
        <v>#REF!</v>
      </c>
      <c r="J33" s="449">
        <f ca="1">IFERROR(__xludf.DUMMYFUNCTION("GOOGLEFINANCE (""Currency:USDRON"")*Divident_all!L53"),1.49341072438871)</f>
        <v>1.49341072438871</v>
      </c>
      <c r="K33" s="450">
        <v>0.79</v>
      </c>
      <c r="L33" s="462">
        <f>SUM(K2:K35)</f>
        <v>24.19</v>
      </c>
      <c r="M33" s="448"/>
      <c r="N33" s="449"/>
      <c r="O33" s="449"/>
      <c r="P33" s="462">
        <f>SUM(O2:O35)</f>
        <v>14.169999999999998</v>
      </c>
      <c r="Q33" s="448"/>
      <c r="R33" s="449"/>
      <c r="S33" s="449"/>
      <c r="T33" s="462">
        <f>SUM(S2:S35)</f>
        <v>3.6699999999999995</v>
      </c>
      <c r="U33" s="448" t="e">
        <f>Divident_all!#REF!</f>
        <v>#REF!</v>
      </c>
      <c r="V33" s="449">
        <f ca="1">IFERROR(__xludf.DUMMYFUNCTION("GOOGLEFINANCE (""Currency:USDRON"")*Divident_all!L55"),0.9657891612738)</f>
        <v>0.96578916127379999</v>
      </c>
      <c r="W33" s="449"/>
      <c r="X33" s="462">
        <f>SUM(W2:W35)</f>
        <v>0</v>
      </c>
      <c r="Y33" s="448"/>
      <c r="Z33" s="449"/>
      <c r="AA33" s="449"/>
      <c r="AB33" s="462">
        <f>SUM(AA2:AA35)</f>
        <v>0</v>
      </c>
      <c r="AC33" s="445"/>
      <c r="AD33" s="451"/>
      <c r="AE33" s="451"/>
      <c r="AF33" s="463">
        <f>SUM(AE2:AE35)</f>
        <v>0</v>
      </c>
      <c r="AG33" s="448" t="e">
        <f>Divident_all!#REF!</f>
        <v>#REF!</v>
      </c>
      <c r="AH33" s="449">
        <f ca="1">IFERROR(__xludf.DUMMYFUNCTION("GOOGLEFINANCE (""Currency:USDRON"")*Divident_all!L55"),0.9657891612738)</f>
        <v>0.96578916127379999</v>
      </c>
      <c r="AI33" s="451"/>
      <c r="AJ33" s="463">
        <f>SUM(AI2:AI35)</f>
        <v>0</v>
      </c>
      <c r="AK33" s="445"/>
      <c r="AL33" s="451"/>
      <c r="AM33" s="451"/>
      <c r="AN33" s="463">
        <f>SUM(AM2:AM35)</f>
        <v>0</v>
      </c>
      <c r="AO33" s="452"/>
      <c r="AP33" s="460"/>
      <c r="AQ33" s="460"/>
      <c r="AR33" s="463">
        <f>SUM(AQ2:AQ35)</f>
        <v>0</v>
      </c>
      <c r="AS33" s="452" t="e">
        <f>Divident_all!#REF!</f>
        <v>#REF!</v>
      </c>
      <c r="AT33" s="453">
        <f ca="1">IFERROR(__xludf.DUMMYFUNCTION("GOOGLEFINANCE (""Currency:EURRON"")*Divident_all!L6"),0.597001416241303)</f>
        <v>0.59700141624130298</v>
      </c>
      <c r="AU33" s="451"/>
      <c r="AV33" s="463">
        <f>SUM(AU2:AU35)</f>
        <v>0</v>
      </c>
      <c r="AW33" s="172"/>
    </row>
    <row r="34" spans="1:49">
      <c r="A34" s="448"/>
      <c r="B34" s="448"/>
      <c r="C34" s="449"/>
      <c r="D34" s="459" t="s">
        <v>212</v>
      </c>
      <c r="E34" s="448"/>
      <c r="F34" s="448"/>
      <c r="G34" s="448"/>
      <c r="H34" s="459" t="s">
        <v>212</v>
      </c>
      <c r="I34" s="448" t="e">
        <f>Divident_all!#REF!</f>
        <v>#REF!</v>
      </c>
      <c r="J34" s="449">
        <f ca="1">IFERROR(__xludf.DUMMYFUNCTION("GOOGLEFINANCE (""Currency:USDRON"")*Divident_all!L54"),0.70999452585936)</f>
        <v>0.70999452585935996</v>
      </c>
      <c r="K34" s="450">
        <v>0.37</v>
      </c>
      <c r="L34" s="459" t="s">
        <v>212</v>
      </c>
      <c r="M34" s="448"/>
      <c r="N34" s="449"/>
      <c r="O34" s="449"/>
      <c r="P34" s="459" t="s">
        <v>212</v>
      </c>
      <c r="Q34" s="448"/>
      <c r="R34" s="449"/>
      <c r="S34" s="449"/>
      <c r="T34" s="459" t="s">
        <v>212</v>
      </c>
      <c r="U34" s="448"/>
      <c r="V34" s="449"/>
      <c r="W34" s="449"/>
      <c r="X34" s="459" t="s">
        <v>212</v>
      </c>
      <c r="Y34" s="448"/>
      <c r="Z34" s="449"/>
      <c r="AA34" s="449"/>
      <c r="AB34" s="459" t="s">
        <v>212</v>
      </c>
      <c r="AC34" s="445"/>
      <c r="AD34" s="451"/>
      <c r="AE34" s="451"/>
      <c r="AF34" s="461" t="s">
        <v>212</v>
      </c>
      <c r="AG34" s="445"/>
      <c r="AH34" s="451"/>
      <c r="AI34" s="451"/>
      <c r="AJ34" s="461" t="s">
        <v>212</v>
      </c>
      <c r="AK34" s="445"/>
      <c r="AL34" s="451"/>
      <c r="AM34" s="451"/>
      <c r="AN34" s="461" t="s">
        <v>212</v>
      </c>
      <c r="AO34" s="445"/>
      <c r="AP34" s="451"/>
      <c r="AQ34" s="451"/>
      <c r="AR34" s="461" t="s">
        <v>212</v>
      </c>
      <c r="AS34" s="445"/>
      <c r="AT34" s="451"/>
      <c r="AU34" s="451"/>
      <c r="AV34" s="461" t="s">
        <v>212</v>
      </c>
      <c r="AW34" s="172"/>
    </row>
    <row r="35" spans="1:49">
      <c r="A35" s="448"/>
      <c r="B35" s="448"/>
      <c r="C35" s="449"/>
      <c r="D35" s="464">
        <f ca="1">SUM(B4:B35)</f>
        <v>13.198119655894843</v>
      </c>
      <c r="E35" s="448"/>
      <c r="F35" s="448"/>
      <c r="G35" s="448"/>
      <c r="H35" s="464">
        <f ca="1">SUM(F4:F35)</f>
        <v>20.367298770112292</v>
      </c>
      <c r="I35" s="448" t="e">
        <f>Divident_all!#REF!</f>
        <v>#REF!</v>
      </c>
      <c r="J35" s="449">
        <f ca="1">IFERROR(__xludf.DUMMYFUNCTION("GOOGLEFINANCE (""Currency:USDRON"")*Divident_all!L55"),0.9657891612738)</f>
        <v>0.96578916127379999</v>
      </c>
      <c r="K35" s="450">
        <v>0.41</v>
      </c>
      <c r="L35" s="464">
        <f ca="1">SUM(J4:J35)</f>
        <v>34.852465822661472</v>
      </c>
      <c r="M35" s="448"/>
      <c r="N35" s="449"/>
      <c r="O35" s="449"/>
      <c r="P35" s="464">
        <f ca="1">SUM(N4:N35)</f>
        <v>14.298771540837686</v>
      </c>
      <c r="Q35" s="448"/>
      <c r="R35" s="449"/>
      <c r="S35" s="449"/>
      <c r="T35" s="464">
        <f ca="1">SUM(R4:R35)</f>
        <v>22.944677284948899</v>
      </c>
      <c r="U35" s="448"/>
      <c r="V35" s="449"/>
      <c r="W35" s="449"/>
      <c r="X35" s="464">
        <f ca="1">SUM(V4:V35)</f>
        <v>28.052990473042282</v>
      </c>
      <c r="Y35" s="448"/>
      <c r="Z35" s="449"/>
      <c r="AA35" s="449"/>
      <c r="AB35" s="464">
        <f ca="1">SUM(Z4:Z35)</f>
        <v>13.701770124596383</v>
      </c>
      <c r="AC35" s="445"/>
      <c r="AD35" s="451"/>
      <c r="AE35" s="451"/>
      <c r="AF35" s="465">
        <f ca="1">SUM(AD4:AD35)</f>
        <v>24.720825878314699</v>
      </c>
      <c r="AG35" s="445"/>
      <c r="AH35" s="451"/>
      <c r="AI35" s="451"/>
      <c r="AJ35" s="465">
        <f ca="1">SUM(AH4:AH35)</f>
        <v>26.276841879676482</v>
      </c>
      <c r="AK35" s="445"/>
      <c r="AL35" s="451"/>
      <c r="AM35" s="451"/>
      <c r="AN35" s="465">
        <f ca="1">SUM(AL4:AL35)</f>
        <v>13.854729535514561</v>
      </c>
      <c r="AO35" s="445"/>
      <c r="AP35" s="451"/>
      <c r="AQ35" s="451"/>
      <c r="AR35" s="465">
        <f ca="1">SUM(AP4:AP35)</f>
        <v>25.686615039588499</v>
      </c>
      <c r="AS35" s="445"/>
      <c r="AT35" s="451"/>
      <c r="AU35" s="451"/>
      <c r="AV35" s="465">
        <f ca="1">SUM(AT4:AT35)</f>
        <v>27.580995116236934</v>
      </c>
      <c r="AW35" s="172"/>
    </row>
    <row r="38" spans="1:49" ht="12.75">
      <c r="B38" s="107" t="s">
        <v>213</v>
      </c>
      <c r="C38" s="107" t="s">
        <v>214</v>
      </c>
      <c r="D38" s="107" t="s">
        <v>215</v>
      </c>
      <c r="E38" s="107" t="s">
        <v>216</v>
      </c>
      <c r="F38" s="265" t="s">
        <v>182</v>
      </c>
    </row>
    <row r="39" spans="1:49" ht="17.25">
      <c r="A39" s="108" t="s">
        <v>49</v>
      </c>
      <c r="B39" s="466">
        <f t="shared" ref="B39:B40" si="0">K6</f>
        <v>2.58</v>
      </c>
      <c r="C39" s="466">
        <f t="shared" ref="C39:C40" si="1">W4</f>
        <v>0</v>
      </c>
      <c r="D39" s="466">
        <f t="shared" ref="D39:D40" si="2">AI4</f>
        <v>0</v>
      </c>
      <c r="E39" s="466">
        <f t="shared" ref="E39:E40" si="3">AU4</f>
        <v>0</v>
      </c>
      <c r="F39" s="466">
        <f t="shared" ref="F39:F100" si="4">SUM(B39:E39)</f>
        <v>2.58</v>
      </c>
    </row>
    <row r="40" spans="1:49" ht="17.25">
      <c r="A40" s="111" t="s">
        <v>51</v>
      </c>
      <c r="B40" s="467">
        <f t="shared" si="0"/>
        <v>0.56000000000000005</v>
      </c>
      <c r="C40" s="467">
        <f t="shared" si="1"/>
        <v>0</v>
      </c>
      <c r="D40" s="467">
        <f t="shared" si="2"/>
        <v>0</v>
      </c>
      <c r="E40" s="467">
        <f t="shared" si="3"/>
        <v>0</v>
      </c>
      <c r="F40" s="467">
        <f t="shared" si="4"/>
        <v>0.56000000000000005</v>
      </c>
    </row>
    <row r="41" spans="1:49" ht="17.25">
      <c r="A41" s="115" t="s">
        <v>53</v>
      </c>
      <c r="B41" s="467">
        <f>C13</f>
        <v>0.04</v>
      </c>
      <c r="C41" s="467">
        <f>O14</f>
        <v>0.11</v>
      </c>
      <c r="D41" s="467">
        <f>AA13</f>
        <v>0</v>
      </c>
      <c r="E41" s="467">
        <f>AM13</f>
        <v>0</v>
      </c>
      <c r="F41" s="467">
        <f t="shared" si="4"/>
        <v>0.15</v>
      </c>
    </row>
    <row r="42" spans="1:49" ht="17.25">
      <c r="A42" s="111" t="s">
        <v>55</v>
      </c>
      <c r="B42" s="113">
        <v>0</v>
      </c>
      <c r="C42" s="467">
        <f>O13</f>
        <v>0.59</v>
      </c>
      <c r="D42" s="113"/>
      <c r="E42" s="467">
        <f>AU33</f>
        <v>0</v>
      </c>
      <c r="F42" s="467">
        <f t="shared" si="4"/>
        <v>0.59</v>
      </c>
    </row>
    <row r="43" spans="1:49" ht="17.25">
      <c r="A43" s="115" t="s">
        <v>56</v>
      </c>
      <c r="B43" s="467">
        <f t="shared" ref="B43:B44" si="5">K8</f>
        <v>1.29</v>
      </c>
      <c r="C43" s="467">
        <f t="shared" ref="C43:C44" si="6">W6</f>
        <v>0</v>
      </c>
      <c r="D43" s="113"/>
      <c r="E43" s="467">
        <f>AU6</f>
        <v>0</v>
      </c>
      <c r="F43" s="467">
        <f t="shared" si="4"/>
        <v>1.29</v>
      </c>
    </row>
    <row r="44" spans="1:49" ht="17.25">
      <c r="A44" s="111" t="s">
        <v>57</v>
      </c>
      <c r="B44" s="467">
        <f t="shared" si="5"/>
        <v>0.1</v>
      </c>
      <c r="C44" s="467">
        <f t="shared" si="6"/>
        <v>0</v>
      </c>
      <c r="D44" s="113"/>
      <c r="E44" s="467">
        <f>O33</f>
        <v>0</v>
      </c>
      <c r="F44" s="467">
        <f t="shared" si="4"/>
        <v>0.1</v>
      </c>
    </row>
    <row r="45" spans="1:49" ht="17.25">
      <c r="A45" s="115" t="s">
        <v>58</v>
      </c>
      <c r="B45" s="113">
        <v>0</v>
      </c>
      <c r="C45" s="467">
        <f t="shared" ref="C45:C46" si="7">O4</f>
        <v>0.65</v>
      </c>
      <c r="D45" s="113"/>
      <c r="E45" s="113"/>
      <c r="F45" s="467">
        <f t="shared" si="4"/>
        <v>0.65</v>
      </c>
    </row>
    <row r="46" spans="1:49" ht="17.25">
      <c r="A46" s="111" t="s">
        <v>59</v>
      </c>
      <c r="B46" s="467">
        <f>C5</f>
        <v>1.5</v>
      </c>
      <c r="C46" s="467">
        <f t="shared" si="7"/>
        <v>2.0699999999999998</v>
      </c>
      <c r="D46" s="467">
        <f>AA5</f>
        <v>0</v>
      </c>
      <c r="E46" s="467">
        <f>AM5</f>
        <v>0</v>
      </c>
      <c r="F46" s="467">
        <f t="shared" si="4"/>
        <v>3.57</v>
      </c>
    </row>
    <row r="47" spans="1:49" ht="17.25">
      <c r="A47" s="115" t="s">
        <v>60</v>
      </c>
      <c r="B47" s="467">
        <f>G6</f>
        <v>0.74</v>
      </c>
      <c r="C47" s="467">
        <f>S4</f>
        <v>1.1299999999999999</v>
      </c>
      <c r="D47" s="467">
        <f>AE4</f>
        <v>0</v>
      </c>
      <c r="E47" s="467">
        <f>AQ4</f>
        <v>0</v>
      </c>
      <c r="F47" s="467">
        <f t="shared" si="4"/>
        <v>1.8699999999999999</v>
      </c>
    </row>
    <row r="48" spans="1:49" ht="17.25">
      <c r="A48" s="111" t="s">
        <v>62</v>
      </c>
      <c r="B48" s="467">
        <f>C12</f>
        <v>0.62</v>
      </c>
      <c r="C48" s="467">
        <f>O12</f>
        <v>0.94</v>
      </c>
      <c r="D48" s="467">
        <f>AA12</f>
        <v>0</v>
      </c>
      <c r="E48" s="467">
        <f>AM12</f>
        <v>0</v>
      </c>
      <c r="F48" s="467">
        <f t="shared" si="4"/>
        <v>1.56</v>
      </c>
    </row>
    <row r="49" spans="1:6" ht="17.25">
      <c r="A49" s="115" t="s">
        <v>63</v>
      </c>
      <c r="B49" s="467">
        <f>G20</f>
        <v>0.95</v>
      </c>
      <c r="C49" s="467">
        <f>S23</f>
        <v>0</v>
      </c>
      <c r="D49" s="467">
        <f>AE23</f>
        <v>0</v>
      </c>
      <c r="E49" s="467">
        <f>AQ25</f>
        <v>0</v>
      </c>
      <c r="F49" s="467">
        <f t="shared" si="4"/>
        <v>0.95</v>
      </c>
    </row>
    <row r="50" spans="1:6" ht="17.25">
      <c r="A50" s="111" t="s">
        <v>64</v>
      </c>
      <c r="B50" s="467">
        <f>C4+K10</f>
        <v>0.69</v>
      </c>
      <c r="C50" s="467">
        <f>W8</f>
        <v>0</v>
      </c>
      <c r="D50" s="467">
        <f>AI8</f>
        <v>0</v>
      </c>
      <c r="E50" s="113"/>
      <c r="F50" s="467">
        <f t="shared" si="4"/>
        <v>0.69</v>
      </c>
    </row>
    <row r="51" spans="1:6" ht="17.25">
      <c r="A51" s="115" t="s">
        <v>65</v>
      </c>
      <c r="B51" s="467">
        <f t="shared" ref="B51:B52" si="8">G12</f>
        <v>0.3</v>
      </c>
      <c r="C51" s="467">
        <f t="shared" ref="C51:C52" si="9">S5</f>
        <v>0</v>
      </c>
      <c r="D51" s="467">
        <f t="shared" ref="D51:D52" si="10">AE5</f>
        <v>0</v>
      </c>
      <c r="E51" s="467">
        <f t="shared" ref="E51:E52" si="11">AQ5</f>
        <v>0</v>
      </c>
      <c r="F51" s="467">
        <f t="shared" si="4"/>
        <v>0.3</v>
      </c>
    </row>
    <row r="52" spans="1:6" ht="17.25">
      <c r="A52" s="111" t="s">
        <v>66</v>
      </c>
      <c r="B52" s="467">
        <f t="shared" si="8"/>
        <v>0.37</v>
      </c>
      <c r="C52" s="467">
        <f t="shared" si="9"/>
        <v>0</v>
      </c>
      <c r="D52" s="467">
        <f t="shared" si="10"/>
        <v>0</v>
      </c>
      <c r="E52" s="467">
        <f t="shared" si="11"/>
        <v>0</v>
      </c>
      <c r="F52" s="467">
        <f t="shared" si="4"/>
        <v>0.37</v>
      </c>
    </row>
    <row r="53" spans="1:6" ht="17.25">
      <c r="A53" s="115" t="s">
        <v>67</v>
      </c>
      <c r="B53" s="467">
        <f>C16</f>
        <v>0.15</v>
      </c>
      <c r="C53" s="467">
        <f>O17</f>
        <v>0.35</v>
      </c>
      <c r="D53" s="467">
        <f>AA16</f>
        <v>0</v>
      </c>
      <c r="E53" s="467">
        <f>AM16</f>
        <v>0</v>
      </c>
      <c r="F53" s="467">
        <f t="shared" si="4"/>
        <v>0.5</v>
      </c>
    </row>
    <row r="54" spans="1:6" ht="17.25">
      <c r="A54" s="111" t="s">
        <v>68</v>
      </c>
      <c r="B54" s="467">
        <f>K4</f>
        <v>0.31</v>
      </c>
      <c r="C54" s="467">
        <f>S7</f>
        <v>0</v>
      </c>
      <c r="D54" s="113"/>
      <c r="E54" s="467">
        <f>O31</f>
        <v>0</v>
      </c>
      <c r="F54" s="467">
        <f t="shared" si="4"/>
        <v>0.31</v>
      </c>
    </row>
    <row r="55" spans="1:6" ht="17.25">
      <c r="A55" s="115" t="s">
        <v>69</v>
      </c>
      <c r="B55" s="467">
        <f>C17</f>
        <v>0.11</v>
      </c>
      <c r="C55" s="467">
        <f>O18</f>
        <v>0.23</v>
      </c>
      <c r="D55" s="467">
        <f>AA17</f>
        <v>0</v>
      </c>
      <c r="E55" s="467">
        <f>AM17</f>
        <v>0</v>
      </c>
      <c r="F55" s="467">
        <f t="shared" si="4"/>
        <v>0.34</v>
      </c>
    </row>
    <row r="56" spans="1:6" ht="17.25">
      <c r="A56" s="111" t="s">
        <v>70</v>
      </c>
      <c r="B56" s="467">
        <f>K11</f>
        <v>0.36</v>
      </c>
      <c r="C56" s="467">
        <f>W9</f>
        <v>0</v>
      </c>
      <c r="D56" s="113"/>
      <c r="E56" s="467">
        <f>AU9</f>
        <v>0</v>
      </c>
      <c r="F56" s="467">
        <f t="shared" si="4"/>
        <v>0.36</v>
      </c>
    </row>
    <row r="57" spans="1:6" ht="17.25">
      <c r="A57" s="115" t="s">
        <v>71</v>
      </c>
      <c r="B57" s="467">
        <f>G14</f>
        <v>0.74</v>
      </c>
      <c r="C57" s="467">
        <f>S8</f>
        <v>0</v>
      </c>
      <c r="D57" s="467">
        <f>AE8</f>
        <v>0</v>
      </c>
      <c r="E57" s="467">
        <f>AQ8</f>
        <v>0</v>
      </c>
      <c r="F57" s="467">
        <f t="shared" si="4"/>
        <v>0.74</v>
      </c>
    </row>
    <row r="58" spans="1:6" ht="17.25">
      <c r="A58" s="111" t="s">
        <v>72</v>
      </c>
      <c r="B58" s="467">
        <f>K24</f>
        <v>1.44</v>
      </c>
      <c r="C58" s="467">
        <f>W24</f>
        <v>0</v>
      </c>
      <c r="D58" s="113"/>
      <c r="E58" s="467">
        <f>O30</f>
        <v>0</v>
      </c>
      <c r="F58" s="467">
        <f t="shared" si="4"/>
        <v>1.44</v>
      </c>
    </row>
    <row r="59" spans="1:6" ht="17.25">
      <c r="A59" s="115" t="s">
        <v>73</v>
      </c>
      <c r="B59" s="467">
        <f>K12</f>
        <v>0.42</v>
      </c>
      <c r="C59" s="467">
        <f>W10</f>
        <v>0</v>
      </c>
      <c r="D59" s="467">
        <f>AI10</f>
        <v>0</v>
      </c>
      <c r="E59" s="467">
        <f>AU10</f>
        <v>0</v>
      </c>
      <c r="F59" s="467">
        <f t="shared" si="4"/>
        <v>0.42</v>
      </c>
    </row>
    <row r="60" spans="1:6" ht="17.25">
      <c r="A60" s="111" t="s">
        <v>74</v>
      </c>
      <c r="B60" s="467">
        <f>K21</f>
        <v>0.84</v>
      </c>
      <c r="C60" s="467">
        <f>W21</f>
        <v>0</v>
      </c>
      <c r="D60" s="467">
        <f>AI21</f>
        <v>0</v>
      </c>
      <c r="E60" s="467">
        <f>AU21</f>
        <v>0</v>
      </c>
      <c r="F60" s="467">
        <f t="shared" si="4"/>
        <v>0.84</v>
      </c>
    </row>
    <row r="61" spans="1:6" ht="17.25">
      <c r="A61" s="115" t="s">
        <v>75</v>
      </c>
      <c r="B61" s="467">
        <f>K23</f>
        <v>1.1100000000000001</v>
      </c>
      <c r="C61" s="467">
        <f>W23</f>
        <v>0</v>
      </c>
      <c r="D61" s="467">
        <f>AI23</f>
        <v>0</v>
      </c>
      <c r="E61" s="467">
        <f>AU31</f>
        <v>0</v>
      </c>
      <c r="F61" s="467">
        <f t="shared" si="4"/>
        <v>1.1100000000000001</v>
      </c>
    </row>
    <row r="62" spans="1:6" ht="17.25">
      <c r="A62" s="111" t="s">
        <v>76</v>
      </c>
      <c r="B62" s="467">
        <f>K13</f>
        <v>1.32</v>
      </c>
      <c r="C62" s="467">
        <f>W11</f>
        <v>0</v>
      </c>
      <c r="D62" s="113"/>
      <c r="E62" s="467">
        <f>O32</f>
        <v>0</v>
      </c>
      <c r="F62" s="467">
        <f t="shared" si="4"/>
        <v>1.32</v>
      </c>
    </row>
    <row r="63" spans="1:6" ht="17.25">
      <c r="A63" s="115" t="s">
        <v>77</v>
      </c>
      <c r="B63" s="467">
        <f>K29</f>
        <v>0.82</v>
      </c>
      <c r="C63" s="467">
        <f>W29</f>
        <v>0</v>
      </c>
      <c r="D63" s="467">
        <f>W29</f>
        <v>0</v>
      </c>
      <c r="E63" s="467">
        <f>AQ24</f>
        <v>0</v>
      </c>
      <c r="F63" s="467">
        <f t="shared" si="4"/>
        <v>0.82</v>
      </c>
    </row>
    <row r="64" spans="1:6" ht="17.25">
      <c r="A64" s="111" t="s">
        <v>78</v>
      </c>
      <c r="B64" s="467">
        <f>C11</f>
        <v>0.39</v>
      </c>
      <c r="C64" s="467">
        <f>O6</f>
        <v>0.56000000000000005</v>
      </c>
      <c r="D64" s="467">
        <f>AA6</f>
        <v>0</v>
      </c>
      <c r="E64" s="467">
        <f>AM6</f>
        <v>0</v>
      </c>
      <c r="F64" s="467">
        <f t="shared" si="4"/>
        <v>0.95000000000000007</v>
      </c>
    </row>
    <row r="65" spans="1:6" ht="17.25">
      <c r="A65" s="115" t="s">
        <v>79</v>
      </c>
      <c r="B65" s="467">
        <f>G15</f>
        <v>1.47</v>
      </c>
      <c r="C65" s="467">
        <f>S8</f>
        <v>0</v>
      </c>
      <c r="D65" s="467">
        <f>AE9</f>
        <v>0</v>
      </c>
      <c r="E65" s="467">
        <f>AQ9</f>
        <v>0</v>
      </c>
      <c r="F65" s="467">
        <f t="shared" si="4"/>
        <v>1.47</v>
      </c>
    </row>
    <row r="66" spans="1:6" ht="17.25">
      <c r="A66" s="111" t="s">
        <v>80</v>
      </c>
      <c r="B66" s="467">
        <f>C14</f>
        <v>0.08</v>
      </c>
      <c r="C66" s="467">
        <f>O15</f>
        <v>0.19</v>
      </c>
      <c r="D66" s="467">
        <f>AA14</f>
        <v>0</v>
      </c>
      <c r="E66" s="467">
        <f>AM14</f>
        <v>0</v>
      </c>
      <c r="F66" s="467">
        <f t="shared" si="4"/>
        <v>0.27</v>
      </c>
    </row>
    <row r="67" spans="1:6" ht="17.25">
      <c r="A67" s="115" t="s">
        <v>81</v>
      </c>
      <c r="B67" s="467">
        <f>C19+G24</f>
        <v>2.3199999999999998</v>
      </c>
      <c r="C67" s="467">
        <f>O20</f>
        <v>0.38</v>
      </c>
      <c r="D67" s="467">
        <f>AA19</f>
        <v>0</v>
      </c>
      <c r="E67" s="467">
        <f>AM19</f>
        <v>0</v>
      </c>
      <c r="F67" s="467">
        <f t="shared" si="4"/>
        <v>2.6999999999999997</v>
      </c>
    </row>
    <row r="68" spans="1:6" ht="17.25">
      <c r="A68" s="111" t="s">
        <v>82</v>
      </c>
      <c r="B68" s="467">
        <f>G22</f>
        <v>0.68</v>
      </c>
      <c r="C68" s="467">
        <f>S25</f>
        <v>0</v>
      </c>
      <c r="D68" s="467">
        <f>AE25</f>
        <v>0</v>
      </c>
      <c r="E68" s="467">
        <f>AQ26</f>
        <v>0</v>
      </c>
      <c r="F68" s="467">
        <f t="shared" si="4"/>
        <v>0.68</v>
      </c>
    </row>
    <row r="69" spans="1:6" ht="17.25">
      <c r="A69" s="111" t="s">
        <v>83</v>
      </c>
      <c r="B69" s="467">
        <f>K15</f>
        <v>0.2</v>
      </c>
      <c r="C69" s="467">
        <f>W13</f>
        <v>0</v>
      </c>
      <c r="D69" s="467">
        <f>AI13</f>
        <v>0</v>
      </c>
      <c r="E69" s="467">
        <f>AU13</f>
        <v>0</v>
      </c>
      <c r="F69" s="467">
        <f t="shared" si="4"/>
        <v>0.2</v>
      </c>
    </row>
    <row r="70" spans="1:6" ht="17.25">
      <c r="A70" s="115" t="s">
        <v>84</v>
      </c>
      <c r="B70" s="467">
        <f>K26</f>
        <v>0.12</v>
      </c>
      <c r="C70" s="467">
        <f>W26</f>
        <v>0</v>
      </c>
      <c r="D70" s="467">
        <f>W26</f>
        <v>0</v>
      </c>
      <c r="E70" s="467">
        <f>AU26</f>
        <v>0</v>
      </c>
      <c r="F70" s="467">
        <f t="shared" si="4"/>
        <v>0.12</v>
      </c>
    </row>
    <row r="71" spans="1:6" ht="17.25">
      <c r="A71" s="111" t="s">
        <v>85</v>
      </c>
      <c r="B71" s="467">
        <f>K25</f>
        <v>0.24</v>
      </c>
      <c r="C71" s="467">
        <f>W25</f>
        <v>0</v>
      </c>
      <c r="D71" s="467">
        <f>AI25</f>
        <v>0</v>
      </c>
      <c r="E71" s="467">
        <f>AU25</f>
        <v>0</v>
      </c>
      <c r="F71" s="467">
        <f t="shared" si="4"/>
        <v>0.24</v>
      </c>
    </row>
    <row r="72" spans="1:6" ht="17.25">
      <c r="A72" s="111" t="s">
        <v>86</v>
      </c>
      <c r="B72" s="467">
        <f>K16</f>
        <v>0.26</v>
      </c>
      <c r="C72" s="467">
        <f>W14</f>
        <v>0</v>
      </c>
      <c r="D72" s="467">
        <f>AI14</f>
        <v>0</v>
      </c>
      <c r="E72" s="467">
        <f>AU14</f>
        <v>0</v>
      </c>
      <c r="F72" s="467">
        <f t="shared" si="4"/>
        <v>0.26</v>
      </c>
    </row>
    <row r="73" spans="1:6" ht="17.25">
      <c r="A73" s="115" t="s">
        <v>87</v>
      </c>
      <c r="B73" s="467">
        <f>G8</f>
        <v>0.26</v>
      </c>
      <c r="C73" s="467">
        <f t="shared" ref="C73:C75" si="12">S9</f>
        <v>0</v>
      </c>
      <c r="D73" s="467">
        <f t="shared" ref="D73:D75" si="13">AE10</f>
        <v>0</v>
      </c>
      <c r="E73" s="467">
        <f t="shared" ref="E73:E75" si="14">AQ10</f>
        <v>0</v>
      </c>
      <c r="F73" s="467">
        <f t="shared" si="4"/>
        <v>0.26</v>
      </c>
    </row>
    <row r="74" spans="1:6" ht="17.25">
      <c r="A74" s="111" t="s">
        <v>88</v>
      </c>
      <c r="B74" s="467">
        <f>G7</f>
        <v>0.12</v>
      </c>
      <c r="C74" s="467">
        <f t="shared" si="12"/>
        <v>0</v>
      </c>
      <c r="D74" s="467">
        <f t="shared" si="13"/>
        <v>0</v>
      </c>
      <c r="E74" s="467">
        <f t="shared" si="14"/>
        <v>0</v>
      </c>
      <c r="F74" s="467">
        <f t="shared" si="4"/>
        <v>0.12</v>
      </c>
    </row>
    <row r="75" spans="1:6" ht="17.25">
      <c r="A75" s="115" t="s">
        <v>89</v>
      </c>
      <c r="B75" s="467">
        <f>G11</f>
        <v>0.22</v>
      </c>
      <c r="C75" s="467">
        <f t="shared" si="12"/>
        <v>0</v>
      </c>
      <c r="D75" s="467">
        <f t="shared" si="13"/>
        <v>0</v>
      </c>
      <c r="E75" s="467">
        <f t="shared" si="14"/>
        <v>0</v>
      </c>
      <c r="F75" s="467">
        <f t="shared" si="4"/>
        <v>0.22</v>
      </c>
    </row>
    <row r="76" spans="1:6" ht="17.25">
      <c r="A76" s="111" t="s">
        <v>90</v>
      </c>
      <c r="B76" s="467">
        <f>C8+G16+K17</f>
        <v>3.95</v>
      </c>
      <c r="C76" s="467">
        <f>O7+S12+W15</f>
        <v>2.02</v>
      </c>
      <c r="D76" s="467">
        <f>AA7+AE13+AI15</f>
        <v>0</v>
      </c>
      <c r="E76" s="467">
        <f>AM7+AQ13+AU15</f>
        <v>0</v>
      </c>
      <c r="F76" s="467">
        <f t="shared" si="4"/>
        <v>5.9700000000000006</v>
      </c>
    </row>
    <row r="77" spans="1:6" ht="17.25">
      <c r="A77" s="115" t="s">
        <v>91</v>
      </c>
      <c r="B77" s="467">
        <f>G23</f>
        <v>0.12</v>
      </c>
      <c r="C77" s="467">
        <f>O19</f>
        <v>0.28999999999999998</v>
      </c>
      <c r="D77" s="467">
        <f>AA18</f>
        <v>0</v>
      </c>
      <c r="E77" s="467">
        <f>AM18</f>
        <v>0</v>
      </c>
      <c r="F77" s="467">
        <f t="shared" si="4"/>
        <v>0.41</v>
      </c>
    </row>
    <row r="78" spans="1:6" ht="17.25">
      <c r="A78" s="111" t="s">
        <v>92</v>
      </c>
      <c r="B78" s="467">
        <f>K18+K28</f>
        <v>1.22</v>
      </c>
      <c r="C78" s="467">
        <f>W16</f>
        <v>0</v>
      </c>
      <c r="D78" s="467">
        <f>AI16</f>
        <v>0</v>
      </c>
      <c r="E78" s="467">
        <f>O34</f>
        <v>0</v>
      </c>
      <c r="F78" s="467">
        <f t="shared" si="4"/>
        <v>1.22</v>
      </c>
    </row>
    <row r="79" spans="1:6" ht="17.25">
      <c r="A79" s="115" t="s">
        <v>93</v>
      </c>
      <c r="B79" s="467">
        <f>C9</f>
        <v>0.59</v>
      </c>
      <c r="C79" s="467">
        <f>O8</f>
        <v>0.8</v>
      </c>
      <c r="D79" s="467">
        <f>AA8</f>
        <v>0</v>
      </c>
      <c r="E79" s="467">
        <f>AM8</f>
        <v>0</v>
      </c>
      <c r="F79" s="467">
        <f t="shared" si="4"/>
        <v>1.3900000000000001</v>
      </c>
    </row>
    <row r="80" spans="1:6" ht="17.25">
      <c r="A80" s="111" t="s">
        <v>94</v>
      </c>
      <c r="B80" s="467">
        <f>C10+G17+K20</f>
        <v>1.66</v>
      </c>
      <c r="C80" s="467">
        <f>O9+S14+W17</f>
        <v>0.79</v>
      </c>
      <c r="D80" s="467">
        <f>AA9+AE14+AI17</f>
        <v>0</v>
      </c>
      <c r="E80" s="467">
        <f>AM9+AQ14+AU17</f>
        <v>0</v>
      </c>
      <c r="F80" s="467">
        <f t="shared" si="4"/>
        <v>2.4500000000000002</v>
      </c>
    </row>
    <row r="81" spans="1:6" ht="17.25">
      <c r="A81" s="115" t="s">
        <v>95</v>
      </c>
      <c r="B81" s="467">
        <f>G19</f>
        <v>0.92</v>
      </c>
      <c r="C81" s="467">
        <f>S19</f>
        <v>0</v>
      </c>
      <c r="D81" s="467">
        <f>AE19</f>
        <v>0</v>
      </c>
      <c r="E81" s="467">
        <f>AQ19</f>
        <v>0</v>
      </c>
      <c r="F81" s="467">
        <f t="shared" si="4"/>
        <v>0.92</v>
      </c>
    </row>
    <row r="82" spans="1:6" ht="17.25">
      <c r="A82" s="111" t="s">
        <v>96</v>
      </c>
      <c r="B82" s="467">
        <f>K19</f>
        <v>1.36</v>
      </c>
      <c r="C82" s="467">
        <f>W19</f>
        <v>0</v>
      </c>
      <c r="D82" s="467">
        <f>C18</f>
        <v>0</v>
      </c>
      <c r="E82" s="467">
        <f>O23</f>
        <v>0</v>
      </c>
      <c r="F82" s="467">
        <f t="shared" si="4"/>
        <v>1.36</v>
      </c>
    </row>
    <row r="83" spans="1:6" ht="17.25">
      <c r="A83" s="115" t="s">
        <v>97</v>
      </c>
      <c r="B83" s="467">
        <f>C15</f>
        <v>2.38</v>
      </c>
      <c r="C83" s="467">
        <f>O10</f>
        <v>3.35</v>
      </c>
      <c r="D83" s="467">
        <f>AA10</f>
        <v>0</v>
      </c>
      <c r="E83" s="467">
        <f>AM10</f>
        <v>0</v>
      </c>
      <c r="F83" s="467">
        <f t="shared" si="4"/>
        <v>5.73</v>
      </c>
    </row>
    <row r="84" spans="1:6" ht="17.25">
      <c r="A84" s="111" t="s">
        <v>98</v>
      </c>
      <c r="B84" s="467">
        <f t="shared" ref="B84:B85" si="15">K31</f>
        <v>2.36</v>
      </c>
      <c r="C84" s="467">
        <f>S15</f>
        <v>0</v>
      </c>
      <c r="D84" s="467">
        <f>AE15</f>
        <v>0</v>
      </c>
      <c r="E84" s="467">
        <f>AQ15</f>
        <v>0</v>
      </c>
      <c r="F84" s="467">
        <f t="shared" si="4"/>
        <v>2.36</v>
      </c>
    </row>
    <row r="85" spans="1:6" ht="17.25">
      <c r="A85" s="115" t="s">
        <v>99</v>
      </c>
      <c r="B85" s="467">
        <f t="shared" si="15"/>
        <v>0.3</v>
      </c>
      <c r="C85" s="467">
        <f>W18</f>
        <v>0</v>
      </c>
      <c r="D85" s="467">
        <f>AI18</f>
        <v>0</v>
      </c>
      <c r="E85" s="467">
        <f>AU18</f>
        <v>0</v>
      </c>
      <c r="F85" s="467">
        <f t="shared" si="4"/>
        <v>0.3</v>
      </c>
    </row>
    <row r="86" spans="1:6" ht="17.25">
      <c r="A86" s="111" t="s">
        <v>100</v>
      </c>
      <c r="B86" s="467">
        <f>C6</f>
        <v>0.21</v>
      </c>
      <c r="C86" s="467">
        <f>O11</f>
        <v>0.27</v>
      </c>
      <c r="D86" s="467">
        <f>AA11</f>
        <v>0</v>
      </c>
      <c r="E86" s="467">
        <f>AM11</f>
        <v>0</v>
      </c>
      <c r="F86" s="467">
        <f t="shared" si="4"/>
        <v>0.48</v>
      </c>
    </row>
    <row r="87" spans="1:6" ht="17.25">
      <c r="A87" s="115" t="s">
        <v>101</v>
      </c>
      <c r="B87" s="467">
        <f>K5</f>
        <v>0.18</v>
      </c>
      <c r="C87" s="467">
        <f>W20</f>
        <v>0</v>
      </c>
      <c r="D87" s="467">
        <f>AI20</f>
        <v>0</v>
      </c>
      <c r="E87" s="467">
        <f>AU20</f>
        <v>0</v>
      </c>
      <c r="F87" s="467">
        <f t="shared" si="4"/>
        <v>0.18</v>
      </c>
    </row>
    <row r="88" spans="1:6" ht="17.25">
      <c r="A88" s="111" t="s">
        <v>102</v>
      </c>
      <c r="B88" s="467">
        <f>G18</f>
        <v>0.05</v>
      </c>
      <c r="C88" s="467">
        <f>S16</f>
        <v>0</v>
      </c>
      <c r="D88" s="467">
        <f>AE16</f>
        <v>0</v>
      </c>
      <c r="E88" s="467">
        <f>AQ16</f>
        <v>0</v>
      </c>
      <c r="F88" s="467">
        <f t="shared" si="4"/>
        <v>0.05</v>
      </c>
    </row>
    <row r="89" spans="1:6" ht="17.25">
      <c r="A89" s="115" t="s">
        <v>103</v>
      </c>
      <c r="B89" s="467">
        <f t="shared" ref="B89:B91" si="16">K33</f>
        <v>0.79</v>
      </c>
      <c r="C89" s="467">
        <f t="shared" ref="C89:C91" si="17">W31</f>
        <v>0</v>
      </c>
      <c r="D89" s="467">
        <f t="shared" ref="D89:D91" si="18">AI31</f>
        <v>0</v>
      </c>
      <c r="E89" s="467">
        <f>AU28</f>
        <v>0</v>
      </c>
      <c r="F89" s="467">
        <f t="shared" si="4"/>
        <v>0.79</v>
      </c>
    </row>
    <row r="90" spans="1:6" ht="17.25">
      <c r="A90" s="111" t="s">
        <v>104</v>
      </c>
      <c r="B90" s="467">
        <f t="shared" si="16"/>
        <v>0.37</v>
      </c>
      <c r="C90" s="467">
        <f t="shared" si="17"/>
        <v>0</v>
      </c>
      <c r="D90" s="467">
        <f t="shared" si="18"/>
        <v>0</v>
      </c>
      <c r="E90" s="467">
        <f>AU32</f>
        <v>0</v>
      </c>
      <c r="F90" s="467">
        <f t="shared" si="4"/>
        <v>0.37</v>
      </c>
    </row>
    <row r="91" spans="1:6" ht="17.25">
      <c r="A91" s="115" t="s">
        <v>105</v>
      </c>
      <c r="B91" s="467">
        <f t="shared" si="16"/>
        <v>0.41</v>
      </c>
      <c r="C91" s="467">
        <f t="shared" si="17"/>
        <v>0</v>
      </c>
      <c r="D91" s="467">
        <f t="shared" si="18"/>
        <v>0</v>
      </c>
      <c r="E91" s="467">
        <f t="shared" ref="E91:E92" si="19">AQ17</f>
        <v>0</v>
      </c>
      <c r="F91" s="467">
        <f t="shared" si="4"/>
        <v>0.41</v>
      </c>
    </row>
    <row r="92" spans="1:6" ht="17.25">
      <c r="A92" s="111" t="s">
        <v>106</v>
      </c>
      <c r="B92" s="467">
        <f>G10</f>
        <v>0.54</v>
      </c>
      <c r="C92" s="467">
        <f t="shared" ref="C92:C93" si="20">S17</f>
        <v>0</v>
      </c>
      <c r="D92" s="467">
        <f t="shared" ref="D92:D93" si="21">AE17</f>
        <v>0</v>
      </c>
      <c r="E92" s="467">
        <f t="shared" si="19"/>
        <v>0</v>
      </c>
      <c r="F92" s="467">
        <f t="shared" si="4"/>
        <v>0.54</v>
      </c>
    </row>
    <row r="93" spans="1:6" ht="17.25">
      <c r="A93" s="115" t="s">
        <v>107</v>
      </c>
      <c r="B93" s="467">
        <f>G5</f>
        <v>0.93</v>
      </c>
      <c r="C93" s="467">
        <f t="shared" si="20"/>
        <v>1.39</v>
      </c>
      <c r="D93" s="467">
        <f t="shared" si="21"/>
        <v>0</v>
      </c>
      <c r="E93" s="467">
        <f>AQ20</f>
        <v>0</v>
      </c>
      <c r="F93" s="467">
        <f t="shared" si="4"/>
        <v>2.3199999999999998</v>
      </c>
    </row>
    <row r="94" spans="1:6" ht="17.25">
      <c r="A94" s="111" t="s">
        <v>108</v>
      </c>
      <c r="B94" s="467">
        <f>G4</f>
        <v>0.75</v>
      </c>
      <c r="C94" s="467">
        <f>S20</f>
        <v>1.1499999999999999</v>
      </c>
      <c r="D94" s="467">
        <f>AE20</f>
        <v>0</v>
      </c>
      <c r="E94" s="467">
        <f>AQ23</f>
        <v>0</v>
      </c>
      <c r="F94" s="467">
        <f t="shared" si="4"/>
        <v>1.9</v>
      </c>
    </row>
    <row r="95" spans="1:6" ht="17.25">
      <c r="A95" s="115" t="s">
        <v>109</v>
      </c>
      <c r="B95" s="467">
        <f>K22</f>
        <v>0.6</v>
      </c>
      <c r="C95" s="467">
        <f>W22</f>
        <v>0</v>
      </c>
      <c r="D95" s="467">
        <f>AI22</f>
        <v>0</v>
      </c>
      <c r="E95" s="467">
        <f>AU22</f>
        <v>0</v>
      </c>
      <c r="F95" s="467">
        <f t="shared" si="4"/>
        <v>0.6</v>
      </c>
    </row>
    <row r="96" spans="1:6" ht="17.25">
      <c r="A96" s="111" t="s">
        <v>110</v>
      </c>
      <c r="B96" s="467">
        <f>K27</f>
        <v>0.55000000000000004</v>
      </c>
      <c r="C96" s="467">
        <f>W27</f>
        <v>0</v>
      </c>
      <c r="D96" s="467">
        <f>AI27</f>
        <v>0</v>
      </c>
      <c r="E96" s="467">
        <f>AU27</f>
        <v>0</v>
      </c>
      <c r="F96" s="467">
        <f t="shared" si="4"/>
        <v>0.55000000000000004</v>
      </c>
    </row>
    <row r="97" spans="1:6" ht="17.25">
      <c r="A97" s="115" t="s">
        <v>111</v>
      </c>
      <c r="B97" s="467">
        <f>C20</f>
        <v>0.3</v>
      </c>
      <c r="C97" s="467">
        <f>O21</f>
        <v>0.57999999999999996</v>
      </c>
      <c r="D97" s="467">
        <f>AA20</f>
        <v>0</v>
      </c>
      <c r="E97" s="467">
        <f>AM21</f>
        <v>0</v>
      </c>
      <c r="F97" s="467">
        <f t="shared" si="4"/>
        <v>0.87999999999999989</v>
      </c>
    </row>
    <row r="98" spans="1:6" ht="17.25">
      <c r="A98" s="111" t="s">
        <v>112</v>
      </c>
      <c r="B98" s="467">
        <f>K30</f>
        <v>0.12</v>
      </c>
      <c r="C98" s="467">
        <f>W30</f>
        <v>0</v>
      </c>
      <c r="D98" s="467">
        <f>AI30</f>
        <v>0</v>
      </c>
      <c r="E98" s="467">
        <f>AU30</f>
        <v>0</v>
      </c>
      <c r="F98" s="467">
        <f t="shared" si="4"/>
        <v>0.12</v>
      </c>
    </row>
    <row r="99" spans="1:6" ht="17.25">
      <c r="A99" s="115" t="s">
        <v>113</v>
      </c>
      <c r="B99" s="467">
        <f>G21</f>
        <v>0.81</v>
      </c>
      <c r="C99" s="467">
        <f t="shared" ref="C99:C100" si="22">S21</f>
        <v>0</v>
      </c>
      <c r="D99" s="467">
        <f t="shared" ref="D99:D100" si="23">AE21</f>
        <v>0</v>
      </c>
      <c r="E99" s="467">
        <f t="shared" ref="E99:E100" si="24">AQ21</f>
        <v>0</v>
      </c>
      <c r="F99" s="467">
        <f t="shared" si="4"/>
        <v>0.81</v>
      </c>
    </row>
    <row r="100" spans="1:6" ht="17.25">
      <c r="A100" s="116" t="s">
        <v>114</v>
      </c>
      <c r="B100" s="468">
        <f>G9</f>
        <v>0.5</v>
      </c>
      <c r="C100" s="468">
        <f t="shared" si="22"/>
        <v>0</v>
      </c>
      <c r="D100" s="468">
        <f t="shared" si="23"/>
        <v>0</v>
      </c>
      <c r="E100" s="468">
        <f t="shared" si="24"/>
        <v>0</v>
      </c>
      <c r="F100" s="468">
        <f t="shared" si="4"/>
        <v>0.5</v>
      </c>
    </row>
  </sheetData>
  <conditionalFormatting sqref="B39:F100">
    <cfRule type="cellIs" dxfId="4" priority="1" operator="greaterThan">
      <formula>0</formula>
    </cfRule>
  </conditionalFormatting>
  <conditionalFormatting sqref="B39:F100">
    <cfRule type="cellIs" dxfId="3" priority="2" operator="lessThanOrEqual">
      <formula>0</formula>
    </cfRule>
  </conditionalFormatting>
  <conditionalFormatting sqref="M23">
    <cfRule type="notContainsBlanks" dxfId="2" priority="3">
      <formula>LEN(TRIM(M23))&gt;0</formula>
    </cfRule>
  </conditionalFormatting>
  <conditionalFormatting sqref="M23"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G25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120</v>
      </c>
      <c r="L2" s="276">
        <f ca="1">((L4*4)*100)/(500+K2+M2)</f>
        <v>4.2955563376049772</v>
      </c>
      <c r="M2" s="13">
        <v>20</v>
      </c>
      <c r="N2" s="13"/>
      <c r="O2" s="13"/>
      <c r="P2" s="13"/>
    </row>
    <row r="3" spans="1:33" ht="15.75" customHeight="1">
      <c r="A3" s="277" t="s">
        <v>33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AVERAGE(C5:C25)</f>
        <v>#REF!</v>
      </c>
      <c r="D4" s="124" t="e">
        <f t="shared" ca="1" si="0"/>
        <v>#REF!</v>
      </c>
      <c r="E4" s="278">
        <f t="shared" ca="1" si="0"/>
        <v>0.51835840093632657</v>
      </c>
      <c r="F4" s="122"/>
      <c r="G4" s="253">
        <f ca="1">SUM(G5:G25)</f>
        <v>143.10630114932246</v>
      </c>
      <c r="H4" s="122">
        <f>500+K2+M2-SUM(H5:H25)</f>
        <v>0</v>
      </c>
      <c r="I4" s="124"/>
      <c r="J4" s="124" t="e">
        <f t="shared" ref="J4:L4" ca="1" si="1">SUM(J5:J25)</f>
        <v>#REF!</v>
      </c>
      <c r="K4" s="129">
        <f t="shared" ca="1" si="1"/>
        <v>19.293326536774511</v>
      </c>
      <c r="L4" s="129">
        <f t="shared" ca="1" si="1"/>
        <v>6.8728901401679643</v>
      </c>
      <c r="M4" s="123">
        <f t="shared" ref="M4:M25" ca="1" si="2">L4/K4</f>
        <v>0.35623147346144407</v>
      </c>
      <c r="N4" s="131"/>
      <c r="O4" s="131"/>
      <c r="P4" s="132"/>
    </row>
    <row r="5" spans="1:33" ht="12.75">
      <c r="A5" s="172"/>
      <c r="B5" s="291" t="str">
        <f>Divident_all!B3</f>
        <v>AMD</v>
      </c>
      <c r="C5" s="291">
        <f>Divident_all!D3</f>
        <v>62.5</v>
      </c>
      <c r="D5" s="292">
        <f ca="1">Divident_all!E3</f>
        <v>24.84</v>
      </c>
      <c r="E5" s="293">
        <f ca="1">IFERROR(__xludf.DUMMYFUNCTION("(((H5/GOOGLEFINANCE (""Currency:USDRON""))/D5)+F5)"),1.36824720216717)</f>
        <v>1.3682472021671701</v>
      </c>
      <c r="F5" s="291">
        <f>Divident_all!I3</f>
        <v>1.0081769999999999</v>
      </c>
      <c r="G5" s="292">
        <f ca="1">IFERROR(__xludf.DUMMYFUNCTION("H5/GOOGLEFINANCE (""Currency:USDRON"")"),8.94414382183265)</f>
        <v>8.9441438218326503</v>
      </c>
      <c r="H5" s="294">
        <v>40</v>
      </c>
      <c r="I5" s="295">
        <f t="shared" ref="I5:I7" ca="1" si="3">D5/C5</f>
        <v>0.39744000000000002</v>
      </c>
      <c r="J5" s="292">
        <f t="shared" ref="J5:J25" ca="1" si="4">((E5*C5)/100)</f>
        <v>0.85515450135448134</v>
      </c>
      <c r="K5" s="296">
        <f ca="1">IFERROR(__xludf.DUMMYFUNCTION("(F5*C5)/100*GOOGLEFINANCE (""Currency:USDRON"")"),2.81798073712499)</f>
        <v>2.8179807371249899</v>
      </c>
      <c r="L5" s="297">
        <f ca="1">IFERROR(__xludf.DUMMYFUNCTION("(((H5/GOOGLEFINANCE (""Currency:USDRON""))/D5)*C5)/100*GOOGLEFINANCE (""Currency:USDRON"")"),1.00644122383252)</f>
        <v>1.00644122383252</v>
      </c>
      <c r="M5" s="298">
        <f t="shared" ca="1" si="2"/>
        <v>0.3571497883478541</v>
      </c>
      <c r="N5" s="299" t="str">
        <f>Divident_all!M3</f>
        <v>Consumer Cyclical</v>
      </c>
      <c r="O5" s="299" t="str">
        <f>Divident_all!N3</f>
        <v>Auto &amp; Truck Dealerships</v>
      </c>
      <c r="P5" s="300">
        <f>Divident_all!O3</f>
        <v>12584</v>
      </c>
      <c r="Q5" s="172"/>
      <c r="R5" s="290"/>
    </row>
    <row r="6" spans="1:33" ht="12.75">
      <c r="A6" s="172"/>
      <c r="B6" s="301" t="e">
        <f>Divident_all!#REF!</f>
        <v>#REF!</v>
      </c>
      <c r="C6" s="301" t="e">
        <f>Divident_all!#REF!</f>
        <v>#REF!</v>
      </c>
      <c r="D6" s="302" t="e">
        <f>Divident_all!#REF!</f>
        <v>#REF!</v>
      </c>
      <c r="E6" s="303">
        <f ca="1">IFERROR(__xludf.DUMMYFUNCTION("(((H6/GOOGLEFINANCE (""Currency:USDRON""))/D6)+F6)"),2.23005687060659)</f>
        <v>2.2300568706065902</v>
      </c>
      <c r="F6" s="301" t="e">
        <f>Divident_all!#REF!</f>
        <v>#REF!</v>
      </c>
      <c r="G6" s="302">
        <f ca="1">IFERROR(__xludf.DUMMYFUNCTION("H6/GOOGLEFINANCE (""Currency:USDRON"")"),8.94414382183265)</f>
        <v>8.9441438218326503</v>
      </c>
      <c r="H6" s="304">
        <v>40</v>
      </c>
      <c r="I6" s="305" t="e">
        <f t="shared" si="3"/>
        <v>#REF!</v>
      </c>
      <c r="J6" s="302" t="e">
        <f t="shared" ca="1" si="4"/>
        <v>#REF!</v>
      </c>
      <c r="K6" s="306">
        <f ca="1">IFERROR(__xludf.DUMMYFUNCTION("(F6*C6)/100*GOOGLEFINANCE (""Currency:USDRON"")"),1.38385976864399)</f>
        <v>1.38385976864399</v>
      </c>
      <c r="L6" s="307">
        <f ca="1">IFERROR(__xludf.DUMMYFUNCTION("(((H6/GOOGLEFINANCE (""Currency:USDRON""))/D6)*C6)/100*GOOGLEFINANCE (""Currency:USDRON"")"),0.909990108803165)</f>
        <v>0.909990108803165</v>
      </c>
      <c r="M6" s="308">
        <f t="shared" ca="1" si="2"/>
        <v>0.65757393156594313</v>
      </c>
      <c r="N6" s="309" t="e">
        <f>Divident_all!#REF!</f>
        <v>#REF!</v>
      </c>
      <c r="O6" s="309" t="e">
        <f>Divident_all!#REF!</f>
        <v>#REF!</v>
      </c>
      <c r="P6" s="310" t="e">
        <f>Divident_all!#REF!</f>
        <v>#REF!</v>
      </c>
      <c r="Q6" s="240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</row>
    <row r="7" spans="1:33" ht="12.75">
      <c r="A7" s="172"/>
      <c r="B7" s="301" t="e">
        <f>Divident_all!#REF!</f>
        <v>#REF!</v>
      </c>
      <c r="C7" s="301" t="e">
        <f>Divident_all!#REF!</f>
        <v>#REF!</v>
      </c>
      <c r="D7" s="302" t="e">
        <f>Divident_all!#REF!</f>
        <v>#REF!</v>
      </c>
      <c r="E7" s="303">
        <f ca="1">IFERROR(__xludf.DUMMYFUNCTION("(((H7/GOOGLEFINANCE (""Currency:USDRON""))/D7)+F7)"),0.73767144253229)</f>
        <v>0.73767144253229</v>
      </c>
      <c r="F7" s="301" t="e">
        <f>Divident_all!#REF!</f>
        <v>#REF!</v>
      </c>
      <c r="G7" s="302">
        <f ca="1">IFERROR(__xludf.DUMMYFUNCTION("H7/GOOGLEFINANCE (""Currency:USDRON"")"),8.94414382183265)</f>
        <v>8.9441438218326503</v>
      </c>
      <c r="H7" s="304">
        <v>40</v>
      </c>
      <c r="I7" s="305" t="e">
        <f t="shared" si="3"/>
        <v>#REF!</v>
      </c>
      <c r="J7" s="302" t="e">
        <f t="shared" ca="1" si="4"/>
        <v>#REF!</v>
      </c>
      <c r="K7" s="306">
        <f ca="1">IFERROR(__xludf.DUMMYFUNCTION("(F7*C7)/100*GOOGLEFINANCE (""Currency:USDRON"")"),2.295761741876)</f>
        <v>2.2957617418759999</v>
      </c>
      <c r="L7" s="307">
        <f ca="1">IFERROR(__xludf.DUMMYFUNCTION("(((H7/GOOGLEFINANCE (""Currency:USDRON""))/D7)*C7)/100*GOOGLEFINANCE (""Currency:USDRON"")"),0.805311629899336)</f>
        <v>0.80531162989933602</v>
      </c>
      <c r="M7" s="308">
        <f t="shared" ca="1" si="2"/>
        <v>0.35078188437850227</v>
      </c>
      <c r="N7" s="309" t="e">
        <f>Divident_all!#REF!</f>
        <v>#REF!</v>
      </c>
      <c r="O7" s="309" t="e">
        <f>Divident_all!#REF!</f>
        <v>#REF!</v>
      </c>
      <c r="P7" s="310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172"/>
      <c r="B8" s="280" t="e">
        <f>Divident_all!#REF!</f>
        <v>#REF!</v>
      </c>
      <c r="C8" s="280" t="e">
        <f>Divident_all!#REF!</f>
        <v>#REF!</v>
      </c>
      <c r="D8" s="281" t="e">
        <f>Divident_all!#REF!</f>
        <v>#REF!</v>
      </c>
      <c r="E8" s="282">
        <f ca="1">IFERROR(__xludf.DUMMYFUNCTION("(((H8/GOOGLEFINANCE (""Currency:USDRON""))/D8)+F8)"),2.00214379536887)</f>
        <v>2.0021437953688701</v>
      </c>
      <c r="F8" s="280" t="e">
        <f>Divident_all!#REF!</f>
        <v>#REF!</v>
      </c>
      <c r="G8" s="281">
        <f ca="1">IFERROR(__xludf.DUMMYFUNCTION("H8/GOOGLEFINANCE (""Currency:USDRON"")"),7.82612584410357)</f>
        <v>7.8261258441035704</v>
      </c>
      <c r="H8" s="283">
        <v>35</v>
      </c>
      <c r="I8" s="284" t="e">
        <f>D8/(C8*3)</f>
        <v>#REF!</v>
      </c>
      <c r="J8" s="281" t="e">
        <f t="shared" ca="1" si="4"/>
        <v>#REF!</v>
      </c>
      <c r="K8" s="330">
        <f ca="1">IFERROR(__xludf.DUMMYFUNCTION("(F8*C8)/100*GOOGLEFINANCE (""Currency:USDRON"")"),2.234805186295)</f>
        <v>2.234805186295</v>
      </c>
      <c r="L8" s="286">
        <f ca="1">IFERROR(__xludf.DUMMYFUNCTION("(((H8/GOOGLEFINANCE (""Currency:USDRON""))/D8)*C8)/100*GOOGLEFINANCE (""Currency:USDRON"")"),0.227541371158392)</f>
        <v>0.22754137115839199</v>
      </c>
      <c r="M8" s="469">
        <f t="shared" ca="1" si="2"/>
        <v>0.10181709464153532</v>
      </c>
      <c r="N8" s="288" t="e">
        <f>Divident_all!#REF!</f>
        <v>#REF!</v>
      </c>
      <c r="O8" s="288" t="e">
        <f>Divident_all!#REF!</f>
        <v>#REF!</v>
      </c>
      <c r="P8" s="289" t="e">
        <f>Divident_all!#REF!</f>
        <v>#REF!</v>
      </c>
      <c r="Q8" s="240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172"/>
      <c r="B9" s="280" t="e">
        <f>Divident_all!#REF!</f>
        <v>#REF!</v>
      </c>
      <c r="C9" s="280" t="e">
        <f>Divident_all!#REF!</f>
        <v>#REF!</v>
      </c>
      <c r="D9" s="281" t="e">
        <f>Divident_all!#REF!</f>
        <v>#REF!</v>
      </c>
      <c r="E9" s="282">
        <f ca="1">IFERROR(__xludf.DUMMYFUNCTION("(((H9/GOOGLEFINANCE (""Currency:USDRON""))/D9)+F9)"),0.255783048417193)</f>
        <v>0.25578304841719302</v>
      </c>
      <c r="F9" s="280" t="e">
        <f>Divident_all!#REF!</f>
        <v>#REF!</v>
      </c>
      <c r="G9" s="281">
        <f ca="1">IFERROR(__xludf.DUMMYFUNCTION("H9/GOOGLEFINANCE (""Currency:USDRON"")"),7.82612584410357)</f>
        <v>7.8261258441035704</v>
      </c>
      <c r="H9" s="283">
        <v>35</v>
      </c>
      <c r="I9" s="284" t="e">
        <f t="shared" ref="I9:I10" si="5">D9/C9</f>
        <v>#REF!</v>
      </c>
      <c r="J9" s="281" t="e">
        <f t="shared" ca="1" si="4"/>
        <v>#REF!</v>
      </c>
      <c r="K9" s="330">
        <f ca="1">IFERROR(__xludf.DUMMYFUNCTION("(F9*C9)/100*GOOGLEFINANCE (""Currency:USDRON"")"),1.525184642794)</f>
        <v>1.5251846427939999</v>
      </c>
      <c r="L9" s="286">
        <f ca="1">IFERROR(__xludf.DUMMYFUNCTION("(((H9/GOOGLEFINANCE (""Currency:USDRON""))/D9)*C9)/100*GOOGLEFINANCE (""Currency:USDRON"")"),0.591054313099041)</f>
        <v>0.591054313099041</v>
      </c>
      <c r="M9" s="469">
        <f t="shared" ca="1" si="2"/>
        <v>0.38752967772890967</v>
      </c>
      <c r="N9" s="288" t="e">
        <f>Divident_all!#REF!</f>
        <v>#REF!</v>
      </c>
      <c r="O9" s="288" t="e">
        <f>Divident_all!#REF!</f>
        <v>#REF!</v>
      </c>
      <c r="P9" s="289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172"/>
      <c r="B10" s="280" t="e">
        <f>Divident_all!#REF!</f>
        <v>#REF!</v>
      </c>
      <c r="C10" s="280" t="e">
        <f>Divident_all!#REF!</f>
        <v>#REF!</v>
      </c>
      <c r="D10" s="281" t="e">
        <f>Divident_all!#REF!</f>
        <v>#REF!</v>
      </c>
      <c r="E10" s="282">
        <f ca="1">IFERROR(__xludf.DUMMYFUNCTION("(((H10/GOOGLEFINANCE (""Currency:USDRON""))/D10)+F10)"),0.458996150717014)</f>
        <v>0.458996150717014</v>
      </c>
      <c r="F10" s="280" t="e">
        <f>Divident_all!#REF!</f>
        <v>#REF!</v>
      </c>
      <c r="G10" s="281">
        <f ca="1">IFERROR(__xludf.DUMMYFUNCTION("H10/GOOGLEFINANCE (""Currency:USDRON"")"),7.82612584410357)</f>
        <v>7.8261258441035704</v>
      </c>
      <c r="H10" s="283">
        <v>35</v>
      </c>
      <c r="I10" s="284" t="e">
        <f t="shared" si="5"/>
        <v>#REF!</v>
      </c>
      <c r="J10" s="281" t="e">
        <f t="shared" ca="1" si="4"/>
        <v>#REF!</v>
      </c>
      <c r="K10" s="330">
        <f ca="1">IFERROR(__xludf.DUMMYFUNCTION("(F10*C10)/100*GOOGLEFINANCE (""Currency:USDRON"")"),0.984326568911999)</f>
        <v>0.98432656891199899</v>
      </c>
      <c r="L10" s="286">
        <f ca="1">IFERROR(__xludf.DUMMYFUNCTION("(((H10/GOOGLEFINANCE (""Currency:USDRON""))/D10)*C10)/100*GOOGLEFINANCE (""Currency:USDRON"")"),0.493633692458374)</f>
        <v>0.49363369245837402</v>
      </c>
      <c r="M10" s="469">
        <f t="shared" ca="1" si="2"/>
        <v>0.50149382130769848</v>
      </c>
      <c r="N10" s="288" t="e">
        <f>Divident_all!#REF!</f>
        <v>#REF!</v>
      </c>
      <c r="O10" s="288" t="e">
        <f>Divident_all!#REF!</f>
        <v>#REF!</v>
      </c>
      <c r="P10" s="289" t="e">
        <f>Divident_all!#REF!</f>
        <v>#REF!</v>
      </c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172"/>
      <c r="B11" s="280" t="e">
        <f>Divident_all!#REF!</f>
        <v>#REF!</v>
      </c>
      <c r="C11" s="280" t="e">
        <f>Divident_all!#REF!</f>
        <v>#REF!</v>
      </c>
      <c r="D11" s="281" t="e">
        <f>Divident_all!#REF!</f>
        <v>#REF!</v>
      </c>
      <c r="E11" s="282">
        <f ca="1">IFERROR(__xludf.DUMMYFUNCTION("(((H11/GOOGLEFINANCE (""Currency:USDRON""))/D11)+F11)"),1.05564388870696)</f>
        <v>1.0556438887069599</v>
      </c>
      <c r="F11" s="280" t="e">
        <f>Divident_all!#REF!</f>
        <v>#REF!</v>
      </c>
      <c r="G11" s="281">
        <f ca="1">IFERROR(__xludf.DUMMYFUNCTION("H11/GOOGLEFINANCE (""Currency:USDRON"")"),7.82612584410357)</f>
        <v>7.8261258441035704</v>
      </c>
      <c r="H11" s="283">
        <v>35</v>
      </c>
      <c r="I11" s="284" t="e">
        <f>D11/(C11*3)</f>
        <v>#REF!</v>
      </c>
      <c r="J11" s="281" t="e">
        <f t="shared" ca="1" si="4"/>
        <v>#REF!</v>
      </c>
      <c r="K11" s="330">
        <f ca="1">IFERROR(__xludf.DUMMYFUNCTION("(F11*C11)/100*GOOGLEFINANCE (""Currency:USDRON"")"),1.062088712931)</f>
        <v>1.0620887129309999</v>
      </c>
      <c r="L11" s="286">
        <f ca="1">IFERROR(__xludf.DUMMYFUNCTION("(((H11/GOOGLEFINANCE (""Currency:USDRON""))/D11)*C11)/100*GOOGLEFINANCE (""Currency:USDRON"")"),0.1417791898332)</f>
        <v>0.14177918983320001</v>
      </c>
      <c r="M11" s="469">
        <f t="shared" ca="1" si="2"/>
        <v>0.13349091098232102</v>
      </c>
      <c r="N11" s="288" t="e">
        <f>Divident_all!#REF!</f>
        <v>#REF!</v>
      </c>
      <c r="O11" s="288" t="e">
        <f>Divident_all!#REF!</f>
        <v>#REF!</v>
      </c>
      <c r="P11" s="289" t="e">
        <f>Divident_all!#REF!</f>
        <v>#REF!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172"/>
      <c r="B12" s="349" t="e">
        <f>Divident_all!#REF!</f>
        <v>#REF!</v>
      </c>
      <c r="C12" s="349" t="e">
        <f>Divident_all!#REF!</f>
        <v>#REF!</v>
      </c>
      <c r="D12" s="340" t="e">
        <f>Divident_all!#REF!</f>
        <v>#REF!</v>
      </c>
      <c r="E12" s="351">
        <f ca="1">IFERROR(__xludf.DUMMYFUNCTION("(((H12/GOOGLEFINANCE (""Currency:usdRON""))/D12)+F12)"),0.338115392919917)</f>
        <v>0.33811539291991699</v>
      </c>
      <c r="F12" s="349" t="e">
        <f>Divident_all!#REF!</f>
        <v>#REF!</v>
      </c>
      <c r="G12" s="340">
        <f ca="1">IFERROR(__xludf.DUMMYFUNCTION("H12/GOOGLEFINANCE (""Currency:usdRON"")"),7.82612584410357)</f>
        <v>7.8261258441035704</v>
      </c>
      <c r="H12" s="352">
        <v>35</v>
      </c>
      <c r="I12" s="353" t="e">
        <f t="shared" ref="I12:I17" si="6">D12/C12</f>
        <v>#REF!</v>
      </c>
      <c r="J12" s="340" t="e">
        <f t="shared" ca="1" si="4"/>
        <v>#REF!</v>
      </c>
      <c r="K12" s="470">
        <f ca="1">IFERROR(__xludf.DUMMYFUNCTION("(E12*C12)/100*GOOGLEFINANCE (""Currency:usdRON"")"),1.84478598546407)</f>
        <v>1.84478598546407</v>
      </c>
      <c r="L12" s="345">
        <f ca="1">IFERROR(__xludf.DUMMYFUNCTION("(((H12/GOOGLEFINANCE (""Currency:USDRON""))/D12)*C12)/100*GOOGLEFINANCE (""Currency:USDRON"")"),0.397320182376477)</f>
        <v>0.39732018237647698</v>
      </c>
      <c r="M12" s="346">
        <f t="shared" ca="1" si="2"/>
        <v>0.21537467516944955</v>
      </c>
      <c r="N12" s="355" t="e">
        <f>Divident_all!#REF!</f>
        <v>#REF!</v>
      </c>
      <c r="O12" s="355" t="e">
        <f>Divident_all!#REF!</f>
        <v>#REF!</v>
      </c>
      <c r="P12" s="356" t="e">
        <f>Divident_all!#REF!</f>
        <v>#REF!</v>
      </c>
      <c r="Q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172"/>
      <c r="B13" s="280" t="e">
        <f>Divident_all!#REF!</f>
        <v>#REF!</v>
      </c>
      <c r="C13" s="280" t="e">
        <f>Divident_all!#REF!</f>
        <v>#REF!</v>
      </c>
      <c r="D13" s="281" t="e">
        <f>Divident_all!#REF!</f>
        <v>#REF!</v>
      </c>
      <c r="E13" s="282">
        <f ca="1">IFERROR(__xludf.DUMMYFUNCTION("(((H13/GOOGLEFINANCE (""Currency:USDRON""))/D13)+F13)"),0.264460138904957)</f>
        <v>0.26446013890495701</v>
      </c>
      <c r="F13" s="280" t="e">
        <f>Divident_all!#REF!</f>
        <v>#REF!</v>
      </c>
      <c r="G13" s="281">
        <f ca="1">IFERROR(__xludf.DUMMYFUNCTION("H13/GOOGLEFINANCE (""Currency:USDRON"")"),7.82612584410357)</f>
        <v>7.8261258441035704</v>
      </c>
      <c r="H13" s="283">
        <v>35</v>
      </c>
      <c r="I13" s="284" t="e">
        <f t="shared" si="6"/>
        <v>#REF!</v>
      </c>
      <c r="J13" s="281" t="e">
        <f t="shared" ca="1" si="4"/>
        <v>#REF!</v>
      </c>
      <c r="K13" s="330">
        <f ca="1">IFERROR(__xludf.DUMMYFUNCTION("(F13*C13)/100*GOOGLEFINANCE (""Currency:USDRON"")"),0.884975733583199)</f>
        <v>0.88497573358319903</v>
      </c>
      <c r="L13" s="286">
        <f ca="1">IFERROR(__xludf.DUMMYFUNCTION("(((H13/GOOGLEFINANCE (""Currency:USDRON""))/D13)*C13)/100*GOOGLEFINANCE (""Currency:USDRON"")"),0.392360390284409)</f>
        <v>0.392360390284409</v>
      </c>
      <c r="M13" s="469">
        <f t="shared" ca="1" si="2"/>
        <v>0.44335723048107972</v>
      </c>
      <c r="N13" s="288" t="e">
        <f>Divident_all!#REF!</f>
        <v>#REF!</v>
      </c>
      <c r="O13" s="288" t="e">
        <f>Divident_all!#REF!</f>
        <v>#REF!</v>
      </c>
      <c r="P13" s="289" t="e">
        <f>Divident_all!#REF!</f>
        <v>#REF!</v>
      </c>
      <c r="Q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172"/>
      <c r="B14" s="301" t="e">
        <f>Divident_all!#REF!</f>
        <v>#REF!</v>
      </c>
      <c r="C14" s="301" t="e">
        <f>Divident_all!#REF!</f>
        <v>#REF!</v>
      </c>
      <c r="D14" s="302" t="e">
        <f>Divident_all!#REF!</f>
        <v>#REF!</v>
      </c>
      <c r="E14" s="303">
        <f ca="1">IFERROR(__xludf.DUMMYFUNCTION("(((H14/GOOGLEFINANCE (""Currency:USDRON""))/D14)+F14)"),0.11991855437646)</f>
        <v>0.11991855437646</v>
      </c>
      <c r="F14" s="301" t="e">
        <f>Divident_all!#REF!</f>
        <v>#REF!</v>
      </c>
      <c r="G14" s="302">
        <f ca="1">IFERROR(__xludf.DUMMYFUNCTION("H14/GOOGLEFINANCE (""Currency:USDRON"")"),6.70810786637449)</f>
        <v>6.7081078663744904</v>
      </c>
      <c r="H14" s="304">
        <v>30</v>
      </c>
      <c r="I14" s="305" t="e">
        <f t="shared" si="6"/>
        <v>#REF!</v>
      </c>
      <c r="J14" s="302" t="e">
        <f t="shared" ca="1" si="4"/>
        <v>#REF!</v>
      </c>
      <c r="K14" s="306">
        <f ca="1">IFERROR(__xludf.DUMMYFUNCTION("(F14*C14)/100*GOOGLEFINANCE (""Currency:USDRON"")"),0.3889984764676)</f>
        <v>0.3889984764676</v>
      </c>
      <c r="L14" s="307">
        <f ca="1">IFERROR(__xludf.DUMMYFUNCTION("(((H14/GOOGLEFINANCE (""Currency:USDRON""))/D14)*C14)/100*GOOGLEFINANCE (""Currency:USDRON"")"),0.243835239013638)</f>
        <v>0.24383523901363799</v>
      </c>
      <c r="M14" s="308">
        <f t="shared" ca="1" si="2"/>
        <v>0.6268282622282898</v>
      </c>
      <c r="N14" s="309" t="e">
        <f>Divident_all!#REF!</f>
        <v>#REF!</v>
      </c>
      <c r="O14" s="309" t="e">
        <f>Divident_all!#REF!</f>
        <v>#REF!</v>
      </c>
      <c r="P14" s="310" t="e">
        <f>Divident_all!#REF!</f>
        <v>#REF!</v>
      </c>
      <c r="Q14" s="172"/>
      <c r="R14" s="290"/>
    </row>
    <row r="15" spans="1:33" ht="12.75">
      <c r="A15" s="172"/>
      <c r="B15" s="280" t="e">
        <f>Divident_all!#REF!</f>
        <v>#REF!</v>
      </c>
      <c r="C15" s="280" t="e">
        <f>Divident_all!#REF!</f>
        <v>#REF!</v>
      </c>
      <c r="D15" s="281" t="e">
        <f>Divident_all!#REF!</f>
        <v>#REF!</v>
      </c>
      <c r="E15" s="282">
        <f ca="1">IFERROR(__xludf.DUMMYFUNCTION("(((H15/GOOGLEFINANCE (""Currency:USDRON""))/D15)+F15)"),0.0806075761950418)</f>
        <v>8.0607576195041802E-2</v>
      </c>
      <c r="F15" s="280" t="e">
        <f>Divident_all!#REF!</f>
        <v>#REF!</v>
      </c>
      <c r="G15" s="281">
        <f ca="1">IFERROR(__xludf.DUMMYFUNCTION("H15/GOOGLEFINANCE (""Currency:USDRON"")"),6.70810786637449)</f>
        <v>6.7081078663744904</v>
      </c>
      <c r="H15" s="283">
        <v>30</v>
      </c>
      <c r="I15" s="284" t="e">
        <f t="shared" si="6"/>
        <v>#REF!</v>
      </c>
      <c r="J15" s="281" t="e">
        <f t="shared" ca="1" si="4"/>
        <v>#REF!</v>
      </c>
      <c r="K15" s="330">
        <f ca="1">IFERROR(__xludf.DUMMYFUNCTION("(F15*C15)/100*GOOGLEFINANCE (""Currency:USDRON"")"),0.324504084215999)</f>
        <v>0.32450408421599902</v>
      </c>
      <c r="L15" s="286">
        <f ca="1">IFERROR(__xludf.DUMMYFUNCTION("(((H15/GOOGLEFINANCE (""Currency:USDRON""))/D15)*C15)/100*GOOGLEFINANCE (""Currency:USDRON"")"),0.237865311308767)</f>
        <v>0.23786531130876701</v>
      </c>
      <c r="M15" s="469">
        <f t="shared" ca="1" si="2"/>
        <v>0.73301176434635318</v>
      </c>
      <c r="N15" s="288" t="e">
        <f>Divident_all!#REF!</f>
        <v>#REF!</v>
      </c>
      <c r="O15" s="288" t="e">
        <f>Divident_all!#REF!</f>
        <v>#REF!</v>
      </c>
      <c r="P15" s="289" t="e">
        <f>Divident_all!#REF!</f>
        <v>#REF!</v>
      </c>
      <c r="Q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172"/>
      <c r="B16" s="301" t="e">
        <f>Divident_all!#REF!</f>
        <v>#REF!</v>
      </c>
      <c r="C16" s="301" t="e">
        <f>Divident_all!#REF!</f>
        <v>#REF!</v>
      </c>
      <c r="D16" s="302" t="e">
        <f>Divident_all!#REF!</f>
        <v>#REF!</v>
      </c>
      <c r="E16" s="303">
        <f ca="1">IFERROR(__xludf.DUMMYFUNCTION("(((H16/GOOGLEFINANCE (""Currency:USDRON""))/D16)+F16)"),0.451671441211722)</f>
        <v>0.45167144121172198</v>
      </c>
      <c r="F16" s="301" t="e">
        <f>Divident_all!#REF!</f>
        <v>#REF!</v>
      </c>
      <c r="G16" s="302">
        <f ca="1">IFERROR(__xludf.DUMMYFUNCTION("H16/GOOGLEFINANCE (""Currency:USDRON"")"),6.70810786637449)</f>
        <v>6.7081078663744904</v>
      </c>
      <c r="H16" s="304">
        <v>30</v>
      </c>
      <c r="I16" s="305" t="e">
        <f t="shared" si="6"/>
        <v>#REF!</v>
      </c>
      <c r="J16" s="302" t="e">
        <f t="shared" ca="1" si="4"/>
        <v>#REF!</v>
      </c>
      <c r="K16" s="306">
        <f ca="1">IFERROR(__xludf.DUMMYFUNCTION("(F16*C16)/100*GOOGLEFINANCE (""Currency:USDRON"")"),0.71362627068)</f>
        <v>0.71362627067999995</v>
      </c>
      <c r="L16" s="307">
        <f ca="1">IFERROR(__xludf.DUMMYFUNCTION("(((H16/GOOGLEFINANCE (""Currency:USDRON""))/D16)*C16)/100*GOOGLEFINANCE (""Currency:USDRON"")"),0.21555763823805)</f>
        <v>0.21555763823804999</v>
      </c>
      <c r="M16" s="308">
        <f t="shared" ca="1" si="2"/>
        <v>0.3020595612779915</v>
      </c>
      <c r="N16" s="309" t="e">
        <f>Divident_all!#REF!</f>
        <v>#REF!</v>
      </c>
      <c r="O16" s="309" t="e">
        <f>Divident_all!#REF!</f>
        <v>#REF!</v>
      </c>
      <c r="P16" s="310" t="e">
        <f>Divident_all!#REF!</f>
        <v>#REF!</v>
      </c>
      <c r="Q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172"/>
      <c r="B17" s="339" t="e">
        <f>Divident_all!#REF!</f>
        <v>#REF!</v>
      </c>
      <c r="C17" s="339" t="e">
        <f>Divident_all!#REF!</f>
        <v>#REF!</v>
      </c>
      <c r="D17" s="340" t="e">
        <f>Divident_all!#REF!</f>
        <v>#REF!</v>
      </c>
      <c r="E17" s="341">
        <f ca="1">IFERROR(__xludf.DUMMYFUNCTION("(((H17/GOOGLEFINANCE (""Currency:USDRON""))/D17)+F17)"),0.127893147761065)</f>
        <v>0.127893147761065</v>
      </c>
      <c r="F17" s="339" t="e">
        <f>Divident_all!#REF!</f>
        <v>#REF!</v>
      </c>
      <c r="G17" s="340">
        <f ca="1">IFERROR(__xludf.DUMMYFUNCTION("H17/GOOGLEFINANCE (""Currency:USDRON"")"),6.70810786637449)</f>
        <v>6.7081078663744904</v>
      </c>
      <c r="H17" s="342">
        <v>30</v>
      </c>
      <c r="I17" s="343" t="e">
        <f t="shared" si="6"/>
        <v>#REF!</v>
      </c>
      <c r="J17" s="340" t="e">
        <f t="shared" ca="1" si="4"/>
        <v>#REF!</v>
      </c>
      <c r="K17" s="344">
        <f ca="1">IFERROR(__xludf.DUMMYFUNCTION("(F17*C17)/100*GOOGLEFINANCE (""Currency:USDRON"")"),0.215175766215)</f>
        <v>0.21517576621500001</v>
      </c>
      <c r="L17" s="345">
        <f ca="1">IFERROR(__xludf.DUMMYFUNCTION("(((H17/GOOGLEFINANCE (""Currency:USDRON""))/D17)*C17)/100*GOOGLEFINANCE (""Currency:USDRON"")"),0.213797035347776)</f>
        <v>0.213797035347776</v>
      </c>
      <c r="M17" s="346">
        <f t="shared" ca="1" si="2"/>
        <v>0.99359253650410428</v>
      </c>
      <c r="N17" s="347" t="e">
        <f>Divident_all!#REF!</f>
        <v>#REF!</v>
      </c>
      <c r="O17" s="347" t="e">
        <f>Divident_all!#REF!</f>
        <v>#REF!</v>
      </c>
      <c r="P17" s="348" t="e">
        <f>Divident_all!#REF!</f>
        <v>#REF!</v>
      </c>
      <c r="Q17" s="172"/>
      <c r="R17" s="290"/>
    </row>
    <row r="18" spans="1:33" ht="12.75">
      <c r="A18" s="172"/>
      <c r="B18" s="471" t="e">
        <f>Divident_all!#REF!</f>
        <v>#REF!</v>
      </c>
      <c r="C18" s="471" t="e">
        <f>Divident_all!#REF!</f>
        <v>#REF!</v>
      </c>
      <c r="D18" s="472" t="e">
        <f>Divident_all!#REF!</f>
        <v>#REF!</v>
      </c>
      <c r="E18" s="473">
        <f ca="1">IFERROR(__xludf.DUMMYFUNCTION("(((H18/GOOGLEFINANCE (""Currency:USDRON""))/D18)+F18)"),0.160721738981195)</f>
        <v>0.16072173898119499</v>
      </c>
      <c r="F18" s="471" t="e">
        <f>Divident_all!#REF!</f>
        <v>#REF!</v>
      </c>
      <c r="G18" s="472">
        <f ca="1">IFERROR(__xludf.DUMMYFUNCTION("H18/GOOGLEFINANCE (""Currency:usdRON"")"),6.70810786637449)</f>
        <v>6.7081078663744904</v>
      </c>
      <c r="H18" s="474">
        <v>30</v>
      </c>
      <c r="I18" s="475" t="e">
        <f>D18/(C18)</f>
        <v>#REF!</v>
      </c>
      <c r="J18" s="472" t="e">
        <f t="shared" ca="1" si="4"/>
        <v>#REF!</v>
      </c>
      <c r="K18" s="476">
        <f ca="1">IFERROR(__xludf.DUMMYFUNCTION("(F18*C18)/100*GOOGLEFINANCE (""Currency:usdRON"")"),0.3543950168)</f>
        <v>0.35439501680000002</v>
      </c>
      <c r="L18" s="477">
        <f ca="1">IFERROR(__xludf.DUMMYFUNCTION("(((H18/GOOGLEFINANCE (""Currency:usdRON""))/D18)*C18)/100*GOOGLEFINANCE (""Currency:usdRON"")"),0.220628792057363)</f>
        <v>0.22062879205736299</v>
      </c>
      <c r="M18" s="373">
        <f t="shared" ca="1" si="2"/>
        <v>0.62255049196098911</v>
      </c>
      <c r="N18" s="478" t="e">
        <f>Divident_all!#REF!</f>
        <v>#REF!</v>
      </c>
      <c r="O18" s="478" t="e">
        <f>Divident_all!#REF!</f>
        <v>#REF!</v>
      </c>
      <c r="P18" s="479" t="e">
        <f>Divident_all!#REF!</f>
        <v>#REF!</v>
      </c>
      <c r="Q18" s="172"/>
      <c r="R18" s="290"/>
    </row>
    <row r="19" spans="1:33" ht="12.75">
      <c r="A19" s="172"/>
      <c r="B19" s="301" t="e">
        <f>Divident_all!#REF!</f>
        <v>#REF!</v>
      </c>
      <c r="C19" s="301" t="e">
        <f>Divident_all!#REF!</f>
        <v>#REF!</v>
      </c>
      <c r="D19" s="302" t="e">
        <f>Divident_all!#REF!</f>
        <v>#REF!</v>
      </c>
      <c r="E19" s="303">
        <f ca="1">IFERROR(__xludf.DUMMYFUNCTION("(((H19/GOOGLEFINANCE (""Currency:USDRON""))/D19)+F19)"),0.113358648863156)</f>
        <v>0.113358648863156</v>
      </c>
      <c r="F19" s="301" t="e">
        <f>Divident_all!#REF!</f>
        <v>#REF!</v>
      </c>
      <c r="G19" s="302">
        <f ca="1">IFERROR(__xludf.DUMMYFUNCTION("H19/GOOGLEFINANCE (""Currency:USDRON"")"),5.59008988864541)</f>
        <v>5.5900898886454096</v>
      </c>
      <c r="H19" s="304">
        <v>25</v>
      </c>
      <c r="I19" s="305" t="e">
        <f t="shared" ref="I19:I25" si="7">D19/C19</f>
        <v>#REF!</v>
      </c>
      <c r="J19" s="302" t="e">
        <f t="shared" ca="1" si="4"/>
        <v>#REF!</v>
      </c>
      <c r="K19" s="306">
        <f ca="1">IFERROR(__xludf.DUMMYFUNCTION("(F19*C19)/100*GOOGLEFINANCE (""Currency:USDRON"")"),0.4785187230054)</f>
        <v>0.47851872300539999</v>
      </c>
      <c r="L19" s="307">
        <f ca="1">IFERROR(__xludf.DUMMYFUNCTION("(((H19/GOOGLEFINANCE (""Currency:USDRON""))/D19)*C19)/100*GOOGLEFINANCE (""Currency:USDRON"")"),0.162788902043547)</f>
        <v>0.16278890204354701</v>
      </c>
      <c r="M19" s="308">
        <f t="shared" ca="1" si="2"/>
        <v>0.34019338056644854</v>
      </c>
      <c r="N19" s="309" t="e">
        <f>Divident_all!#REF!</f>
        <v>#REF!</v>
      </c>
      <c r="O19" s="309" t="e">
        <f>Divident_all!#REF!</f>
        <v>#REF!</v>
      </c>
      <c r="P19" s="310" t="e">
        <f>Divident_all!#REF!</f>
        <v>#REF!</v>
      </c>
      <c r="Q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172"/>
      <c r="B20" s="291" t="e">
        <f>Divident_all!#REF!</f>
        <v>#REF!</v>
      </c>
      <c r="C20" s="291" t="e">
        <f>Divident_all!#REF!</f>
        <v>#REF!</v>
      </c>
      <c r="D20" s="292" t="e">
        <f>Divident_all!#REF!</f>
        <v>#REF!</v>
      </c>
      <c r="E20" s="293">
        <f ca="1">IFERROR(__xludf.DUMMYFUNCTION("(((H20/GOOGLEFINANCE (""Currency:USDRON""))/D20)+F20)"),0.0614829830290992)</f>
        <v>6.14829830290992E-2</v>
      </c>
      <c r="F20" s="291" t="e">
        <f>Divident_all!#REF!</f>
        <v>#REF!</v>
      </c>
      <c r="G20" s="292">
        <f ca="1">IFERROR(__xludf.DUMMYFUNCTION("H20/GOOGLEFINANCE (""Currency:USDRON"")"),5.59008988864541)</f>
        <v>5.5900898886454096</v>
      </c>
      <c r="H20" s="294">
        <v>25</v>
      </c>
      <c r="I20" s="295" t="e">
        <f t="shared" si="7"/>
        <v>#REF!</v>
      </c>
      <c r="J20" s="292" t="e">
        <f t="shared" ca="1" si="4"/>
        <v>#REF!</v>
      </c>
      <c r="K20" s="296">
        <f ca="1">IFERROR(__xludf.DUMMYFUNCTION("(F20*C20)/100*GOOGLEFINANCE (""Currency:USDRON"")"),0.124509603399)</f>
        <v>0.124509603399</v>
      </c>
      <c r="L20" s="297">
        <f ca="1">IFERROR(__xludf.DUMMYFUNCTION("(((H20/GOOGLEFINANCE (""Currency:USDRON""))/D20)*C20)/100*GOOGLEFINANCE (""Currency:USDRON"")"),0.1367063834686)</f>
        <v>0.13670638346860001</v>
      </c>
      <c r="M20" s="298">
        <f t="shared" ca="1" si="2"/>
        <v>1.097958548872046</v>
      </c>
      <c r="N20" s="299" t="e">
        <f>Divident_all!#REF!</f>
        <v>#REF!</v>
      </c>
      <c r="O20" s="299" t="e">
        <f>Divident_all!#REF!</f>
        <v>#REF!</v>
      </c>
      <c r="P20" s="300" t="e">
        <f>Divident_all!#REF!</f>
        <v>#REF!</v>
      </c>
      <c r="Q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172"/>
      <c r="B21" s="366" t="e">
        <f>Divident_all!#REF!</f>
        <v>#REF!</v>
      </c>
      <c r="C21" s="366" t="e">
        <f>Divident_all!#REF!</f>
        <v>#REF!</v>
      </c>
      <c r="D21" s="367" t="e">
        <f>Divident_all!#REF!</f>
        <v>#REF!</v>
      </c>
      <c r="E21" s="368">
        <f ca="1">IFERROR(__xludf.DUMMYFUNCTION("(((H21/GOOGLEFINANCE (""Currency:USDRON""))/D21)+F21)"),0.2317109830369)</f>
        <v>0.23171098303689999</v>
      </c>
      <c r="F21" s="366" t="e">
        <f>Divident_all!#REF!</f>
        <v>#REF!</v>
      </c>
      <c r="G21" s="367">
        <f ca="1">IFERROR(__xludf.DUMMYFUNCTION("H21/GOOGLEFINANCE (""Currency:usdRON"")"),5.59008988864541)</f>
        <v>5.5900898886454096</v>
      </c>
      <c r="H21" s="369">
        <v>25</v>
      </c>
      <c r="I21" s="370" t="e">
        <f t="shared" si="7"/>
        <v>#REF!</v>
      </c>
      <c r="J21" s="367" t="e">
        <f t="shared" ca="1" si="4"/>
        <v>#REF!</v>
      </c>
      <c r="K21" s="371">
        <f ca="1">IFERROR(__xludf.DUMMYFUNCTION("(F21*C21)/100*GOOGLEFINANCE (""Currency:usdRON"")"),0.33792336216936)</f>
        <v>0.33792336216935998</v>
      </c>
      <c r="L21" s="372">
        <f ca="1">IFERROR(__xludf.DUMMYFUNCTION("(((H21/GOOGLEFINANCE (""Currency:usdRON""))/D21)*C21)/100*GOOGLEFINANCE (""Currency:usdRON"")"),0.133988466517594)</f>
        <v>0.133988466517594</v>
      </c>
      <c r="M21" s="480">
        <f t="shared" ca="1" si="2"/>
        <v>0.3965054847271608</v>
      </c>
      <c r="N21" s="374" t="e">
        <f>Divident_all!#REF!</f>
        <v>#REF!</v>
      </c>
      <c r="O21" s="374" t="e">
        <f>Divident_all!#REF!</f>
        <v>#REF!</v>
      </c>
      <c r="P21" s="375" t="e">
        <f>Divident_all!#REF!</f>
        <v>#REF!</v>
      </c>
      <c r="Q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172"/>
      <c r="B22" s="291" t="e">
        <f>Divident_all!#REF!</f>
        <v>#REF!</v>
      </c>
      <c r="C22" s="291" t="e">
        <f>Divident_all!#REF!</f>
        <v>#REF!</v>
      </c>
      <c r="D22" s="292" t="e">
        <f>Divident_all!#REF!</f>
        <v>#REF!</v>
      </c>
      <c r="E22" s="293">
        <f ca="1">IFERROR(__xludf.DUMMYFUNCTION("(((H22/GOOGLEFINANCE (""Currency:USDRON""))/D22)+F22)"),0.106599834958345)</f>
        <v>0.106599834958345</v>
      </c>
      <c r="F22" s="291" t="e">
        <f>Divident_all!#REF!</f>
        <v>#REF!</v>
      </c>
      <c r="G22" s="292">
        <f ca="1">IFERROR(__xludf.DUMMYFUNCTION("H22/GOOGLEFINANCE (""Currency:USDRON"")"),5.59008988864541)</f>
        <v>5.5900898886454096</v>
      </c>
      <c r="H22" s="294">
        <v>25</v>
      </c>
      <c r="I22" s="295" t="e">
        <f t="shared" si="7"/>
        <v>#REF!</v>
      </c>
      <c r="J22" s="292" t="e">
        <f t="shared" ca="1" si="4"/>
        <v>#REF!</v>
      </c>
      <c r="K22" s="296">
        <f ca="1">IFERROR(__xludf.DUMMYFUNCTION("(F22*C22)/100*GOOGLEFINANCE (""Currency:USDRON"")"),0.5965197101344)</f>
        <v>0.59651971013439997</v>
      </c>
      <c r="L22" s="297">
        <f ca="1">IFERROR(__xludf.DUMMYFUNCTION("(((H22/GOOGLEFINANCE (""Currency:USDRON""))/D22)*C22)/100*GOOGLEFINANCE (""Currency:USDRON"")"),0.128118678354686)</f>
        <v>0.12811867835468599</v>
      </c>
      <c r="M22" s="298">
        <f t="shared" ca="1" si="2"/>
        <v>0.2147769406074109</v>
      </c>
      <c r="N22" s="299" t="e">
        <f>Divident_all!#REF!</f>
        <v>#REF!</v>
      </c>
      <c r="O22" s="299" t="e">
        <f>Divident_all!#REF!</f>
        <v>#REF!</v>
      </c>
      <c r="P22" s="300" t="e">
        <f>Divident_all!#REF!</f>
        <v>#REF!</v>
      </c>
      <c r="Q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172"/>
      <c r="B23" s="311" t="e">
        <f>Divident_all!#REF!</f>
        <v>#REF!</v>
      </c>
      <c r="C23" s="311" t="e">
        <f>Divident_all!#REF!</f>
        <v>#REF!</v>
      </c>
      <c r="D23" s="481" t="e">
        <f>Divident_all!#REF!</f>
        <v>#REF!</v>
      </c>
      <c r="E23" s="313">
        <f ca="1">IFERROR(__xludf.DUMMYFUNCTION("(((H23/GOOGLEFINANCE (""Currency:usdRON""))/D23)+F23)"),0.534258063362119)</f>
        <v>0.53425806336211901</v>
      </c>
      <c r="F23" s="311" t="e">
        <f>Divident_all!#REF!</f>
        <v>#REF!</v>
      </c>
      <c r="G23" s="481">
        <f ca="1">IFERROR(__xludf.DUMMYFUNCTION("H23/GOOGLEFINANCE (""Currency:usdRON"")"),4.47207191091632)</f>
        <v>4.4720719109163198</v>
      </c>
      <c r="H23" s="314">
        <v>20</v>
      </c>
      <c r="I23" s="315" t="e">
        <f t="shared" si="7"/>
        <v>#REF!</v>
      </c>
      <c r="J23" s="481" t="e">
        <f t="shared" ca="1" si="4"/>
        <v>#REF!</v>
      </c>
      <c r="K23" s="316">
        <f ca="1">IFERROR(__xludf.DUMMYFUNCTION("(F23*C23)/100*GOOGLEFINANCE (""Currency:usdRON"")"),0.398433664639999)</f>
        <v>0.39843366463999902</v>
      </c>
      <c r="L23" s="482">
        <f ca="1">IFERROR(__xludf.DUMMYFUNCTION("(((H23/GOOGLEFINANCE (""Currency:USDRON""))/D23)*C23)/100*GOOGLEFINANCE (""Currency:USDRON"")"),0.0794281175536139)</f>
        <v>7.9428117553613897E-2</v>
      </c>
      <c r="M23" s="318">
        <f t="shared" ca="1" si="2"/>
        <v>0.19935091987114198</v>
      </c>
      <c r="N23" s="319" t="e">
        <f>Divident_all!#REF!</f>
        <v>#REF!</v>
      </c>
      <c r="O23" s="319" t="e">
        <f>Divident_all!#REF!</f>
        <v>#REF!</v>
      </c>
      <c r="P23" s="320" t="e">
        <f>Divident_all!#REF!</f>
        <v>#REF!</v>
      </c>
      <c r="Q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</row>
    <row r="24" spans="1:33" ht="12.75">
      <c r="A24" s="172"/>
      <c r="B24" s="418" t="e">
        <f>Divident_all!#REF!</f>
        <v>#REF!</v>
      </c>
      <c r="C24" s="418" t="e">
        <f>Divident_all!#REF!</f>
        <v>#REF!</v>
      </c>
      <c r="D24" s="419" t="e">
        <f>Divident_all!#REF!</f>
        <v>#REF!</v>
      </c>
      <c r="E24" s="420">
        <f ca="1">IFERROR(__xludf.DUMMYFUNCTION("(((H24/GOOGLEFINANCE (""Currency:USDRON""))/D24)+F24)"),0.126745152916174)</f>
        <v>0.126745152916174</v>
      </c>
      <c r="F24" s="418" t="e">
        <f>Divident_all!#REF!</f>
        <v>#REF!</v>
      </c>
      <c r="G24" s="419">
        <f ca="1">IFERROR(__xludf.DUMMYFUNCTION("H24/GOOGLEFINANCE (""Currency:USDRON"")"),4.47207191091632)</f>
        <v>4.4720719109163198</v>
      </c>
      <c r="H24" s="421">
        <v>20</v>
      </c>
      <c r="I24" s="422" t="e">
        <f t="shared" si="7"/>
        <v>#REF!</v>
      </c>
      <c r="J24" s="419" t="e">
        <f t="shared" ca="1" si="4"/>
        <v>#REF!</v>
      </c>
      <c r="K24" s="483">
        <f ca="1">IFERROR(__xludf.DUMMYFUNCTION("(F24*C24)/100*GOOGLEFINANCE (""Currency:USDRON"")"),0.216357627800699)</f>
        <v>0.216357627800699</v>
      </c>
      <c r="L24" s="424">
        <f ca="1">IFERROR(__xludf.DUMMYFUNCTION("(((H24/GOOGLEFINANCE (""Currency:USDRON""))/D24)*C24)/100*GOOGLEFINANCE (""Currency:USDRON"")"),0.0698913569995156)</f>
        <v>6.9891356999515597E-2</v>
      </c>
      <c r="M24" s="425">
        <f t="shared" ca="1" si="2"/>
        <v>0.32303625118268092</v>
      </c>
      <c r="N24" s="426" t="e">
        <f>Divident_all!#REF!</f>
        <v>#REF!</v>
      </c>
      <c r="O24" s="426" t="e">
        <f>Divident_all!#REF!</f>
        <v>#REF!</v>
      </c>
      <c r="P24" s="427" t="e">
        <f>Divident_all!#REF!</f>
        <v>#REF!</v>
      </c>
      <c r="Q24" s="172"/>
      <c r="R24" s="290"/>
    </row>
    <row r="25" spans="1:33" ht="12.75">
      <c r="A25" s="172"/>
      <c r="B25" s="301" t="e">
        <f>Divident_all!#REF!</f>
        <v>#REF!</v>
      </c>
      <c r="C25" s="301" t="e">
        <f>Divident_all!#REF!</f>
        <v>#REF!</v>
      </c>
      <c r="D25" s="302" t="e">
        <f>Divident_all!#REF!</f>
        <v>#REF!</v>
      </c>
      <c r="E25" s="303">
        <f ca="1">IFERROR(__xludf.DUMMYFUNCTION("(((H25/GOOGLEFINANCE (""Currency:USDRON""))/D25)+F25)"),0.0594403646306196)</f>
        <v>5.9440364630619601E-2</v>
      </c>
      <c r="F25" s="301" t="e">
        <f>Divident_all!#REF!</f>
        <v>#REF!</v>
      </c>
      <c r="G25" s="302">
        <f ca="1">IFERROR(__xludf.DUMMYFUNCTION("H25/GOOGLEFINANCE (""Currency:USDRON"")"),4.47207191091632)</f>
        <v>4.4720719109163198</v>
      </c>
      <c r="H25" s="304">
        <v>20</v>
      </c>
      <c r="I25" s="305" t="e">
        <f t="shared" si="7"/>
        <v>#REF!</v>
      </c>
      <c r="J25" s="302" t="e">
        <f t="shared" ca="1" si="4"/>
        <v>#REF!</v>
      </c>
      <c r="K25" s="306">
        <f ca="1">IFERROR(__xludf.DUMMYFUNCTION("(F25*C25)/100*GOOGLEFINANCE (""Currency:USDRON"")"),0.1105951536228)</f>
        <v>0.11059515362279999</v>
      </c>
      <c r="L25" s="307">
        <f ca="1">IFERROR(__xludf.DUMMYFUNCTION("(((H25/GOOGLEFINANCE (""Currency:USDRON""))/D25)*C25)/100*GOOGLEFINANCE (""Currency:USDRON"")"),0.0648521175198978)</f>
        <v>6.4852117519897806E-2</v>
      </c>
      <c r="M25" s="308">
        <f t="shared" ca="1" si="2"/>
        <v>0.58639203794666162</v>
      </c>
      <c r="N25" s="309" t="e">
        <f>Divident_all!#REF!</f>
        <v>#REF!</v>
      </c>
      <c r="O25" s="309" t="e">
        <f>Divident_all!#REF!</f>
        <v>#REF!</v>
      </c>
      <c r="P25" s="310" t="e">
        <f>Divident_all!#REF!</f>
        <v>#REF!</v>
      </c>
      <c r="Q25" s="172"/>
      <c r="R25" s="29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G26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571</v>
      </c>
      <c r="L2" s="276">
        <f ca="1">((L4*4)*100)/(500+K2+M2)</f>
        <v>4.268448723687106</v>
      </c>
      <c r="M2" s="13">
        <v>24</v>
      </c>
      <c r="N2" s="13"/>
      <c r="O2" s="13"/>
      <c r="P2" s="13"/>
    </row>
    <row r="3" spans="1:33" ht="15.75" customHeight="1">
      <c r="A3" s="277" t="s">
        <v>32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AVERAGE(C5:C24)</f>
        <v>#REF!</v>
      </c>
      <c r="D4" s="124" t="e">
        <f t="shared" si="0"/>
        <v>#REF!</v>
      </c>
      <c r="E4" s="122">
        <f t="shared" ca="1" si="0"/>
        <v>2.2205856125314298</v>
      </c>
      <c r="F4" s="122"/>
      <c r="G4" s="253">
        <f ca="1">SUM(G5:G24)</f>
        <v>243.17963568252003</v>
      </c>
      <c r="H4" s="122">
        <f>500+K2+M2-SUM(H5:H24)</f>
        <v>5</v>
      </c>
      <c r="I4" s="124"/>
      <c r="J4" s="124" t="e">
        <f t="shared" ref="J4:L4" ca="1" si="1">SUM(J5:J24)</f>
        <v>#REF!</v>
      </c>
      <c r="K4" s="129">
        <f t="shared" ca="1" si="1"/>
        <v>24.802161148003997</v>
      </c>
      <c r="L4" s="129">
        <f t="shared" ca="1" si="1"/>
        <v>11.684878381093455</v>
      </c>
      <c r="M4" s="123">
        <f t="shared" ref="M4:M24" ca="1" si="2">L4/K4</f>
        <v>0.47112339571399886</v>
      </c>
      <c r="N4" s="131"/>
      <c r="O4" s="131"/>
      <c r="P4" s="132"/>
    </row>
    <row r="5" spans="1:33" ht="12.75">
      <c r="A5" s="279"/>
      <c r="B5" s="280" t="e">
        <f>Divident_all!#REF!</f>
        <v>#REF!</v>
      </c>
      <c r="C5" s="280" t="e">
        <f>Divident_all!#REF!</f>
        <v>#REF!</v>
      </c>
      <c r="D5" s="281" t="e">
        <f>Divident_all!#REF!</f>
        <v>#REF!</v>
      </c>
      <c r="E5" s="282">
        <f ca="1">IFERROR(__xludf.DUMMYFUNCTION("(((H5/GOOGLEFINANCE (""Currency:USDRON""))/D5)+F5)"),4.05335206046621)</f>
        <v>4.0533520604662101</v>
      </c>
      <c r="F5" s="280" t="e">
        <f>Divident_all!#REF!</f>
        <v>#REF!</v>
      </c>
      <c r="G5" s="281">
        <f ca="1">IFERROR(__xludf.DUMMYFUNCTION("H5/GOOGLEFINANCE (""Currency:USDRON"")"),14.534233710478)</f>
        <v>14.534233710478</v>
      </c>
      <c r="H5" s="283">
        <v>65</v>
      </c>
      <c r="I5" s="284" t="e">
        <f t="shared" ref="I5:I9" si="3">D5/C5</f>
        <v>#REF!</v>
      </c>
      <c r="J5" s="281" t="e">
        <f t="shared" ref="J5:J6" ca="1" si="4">((E5*C5)/100)</f>
        <v>#REF!</v>
      </c>
      <c r="K5" s="330">
        <f ca="1">IFERROR(__xludf.DUMMYFUNCTION("(F5*C5)/100*GOOGLEFINANCE (""Currency:USDRON"")"),5.290104200304)</f>
        <v>5.2901042003040004</v>
      </c>
      <c r="L5" s="286">
        <f ca="1">IFERROR(__xludf.DUMMYFUNCTION("(((H5/GOOGLEFINANCE (""Currency:USDRON""))/D5)*C5)/100*GOOGLEFINANCE (""Currency:USDRON"")"),2.32340425531914)</f>
        <v>2.3234042553191401</v>
      </c>
      <c r="M5" s="469">
        <f t="shared" ca="1" si="2"/>
        <v>0.43919820240698165</v>
      </c>
      <c r="N5" s="288" t="e">
        <f>Divident_all!#REF!</f>
        <v>#REF!</v>
      </c>
      <c r="O5" s="288" t="e">
        <f>Divident_all!#REF!</f>
        <v>#REF!</v>
      </c>
      <c r="P5" s="289" t="e">
        <f>Divident_all!#REF!</f>
        <v>#REF!</v>
      </c>
      <c r="Q5" s="172"/>
      <c r="R5" s="290"/>
    </row>
    <row r="6" spans="1:33" ht="12.75">
      <c r="A6" s="279"/>
      <c r="B6" s="311" t="e">
        <f>Divident_all!#REF!</f>
        <v>#REF!</v>
      </c>
      <c r="C6" s="311" t="e">
        <f>Divident_all!#REF!</f>
        <v>#REF!</v>
      </c>
      <c r="D6" s="383" t="e">
        <f>Divident_all!#REF!</f>
        <v>#REF!</v>
      </c>
      <c r="E6" s="313">
        <f ca="1">IFERROR(__xludf.DUMMYFUNCTION("(((H6/GOOGLEFINANCE (""Currency:cadRON""))/D6)+F6)"),1.42556215571934)</f>
        <v>1.4255621557193401</v>
      </c>
      <c r="F6" s="311" t="e">
        <f>Divident_all!#REF!</f>
        <v>#REF!</v>
      </c>
      <c r="G6" s="384">
        <f ca="1">IFERROR(__xludf.DUMMYFUNCTION("H6/GOOGLEFINANCE (""Currency:cadRON"")"),19.5885126847589)</f>
        <v>19.5885126847589</v>
      </c>
      <c r="H6" s="314">
        <v>65</v>
      </c>
      <c r="I6" s="315" t="e">
        <f t="shared" si="3"/>
        <v>#REF!</v>
      </c>
      <c r="J6" s="383" t="e">
        <f t="shared" ca="1" si="4"/>
        <v>#REF!</v>
      </c>
      <c r="K6" s="316">
        <f ca="1">IFERROR(__xludf.DUMMYFUNCTION("(F6*C6)/100*GOOGLEFINANCE (""Currency:cadRON"")"),2.75279206008608)</f>
        <v>2.75279206008608</v>
      </c>
      <c r="L6" s="317">
        <f ca="1">IFERROR(__xludf.DUMMYFUNCTION("(((H6/GOOGLEFINANCE (""Currency:cadRON""))/D6)*C6)/100*GOOGLEFINANCE (""Currency:cadRON"")"),1.44543973941368)</f>
        <v>1.44543973941368</v>
      </c>
      <c r="M6" s="318">
        <f t="shared" ca="1" si="2"/>
        <v>0.52508133846058858</v>
      </c>
      <c r="N6" s="319" t="e">
        <f>Divident_all!#REF!</f>
        <v>#REF!</v>
      </c>
      <c r="O6" s="319" t="e">
        <f>Divident_all!#REF!</f>
        <v>#REF!</v>
      </c>
      <c r="P6" s="320" t="e">
        <f>Divident_all!#REF!</f>
        <v>#REF!</v>
      </c>
      <c r="Q6" s="172"/>
      <c r="R6" s="290"/>
    </row>
    <row r="7" spans="1:33" ht="12.75">
      <c r="A7" s="279"/>
      <c r="B7" s="349" t="e">
        <f>Divident_all!#REF!</f>
        <v>#REF!</v>
      </c>
      <c r="C7" s="349" t="e">
        <f>Divident_all!#REF!</f>
        <v>#REF!</v>
      </c>
      <c r="D7" s="484" t="e">
        <f>Divident_all!#REF!</f>
        <v>#REF!</v>
      </c>
      <c r="E7" s="351" t="str">
        <f ca="1">IFERROR(__xludf.DUMMYFUNCTION("(((H7/GOOGLEFINANCE (""Currency:gbpRON"")*100)/D7)+F7)"),"#N/A")</f>
        <v>#N/A</v>
      </c>
      <c r="F7" s="349" t="e">
        <f>Divident_all!#REF!</f>
        <v>#REF!</v>
      </c>
      <c r="G7" s="387">
        <f ca="1">IFERROR(__xludf.DUMMYFUNCTION("H7/GOOGLEFINANCE (""Currency:gbpRON"")"),10.614934514399)</f>
        <v>10.614934514399</v>
      </c>
      <c r="H7" s="352">
        <v>60</v>
      </c>
      <c r="I7" s="353" t="e">
        <f t="shared" si="3"/>
        <v>#REF!</v>
      </c>
      <c r="J7" s="387" t="e">
        <f ca="1">((E7*C7)/100)/100</f>
        <v>#VALUE!</v>
      </c>
      <c r="K7" s="470" t="str">
        <f ca="1">IFERROR(__xludf.DUMMYFUNCTION("(E7*C7)/100/100*GOOGLEFINANCE (""Currency:gbpRON"")"),"#N/A")</f>
        <v>#N/A</v>
      </c>
      <c r="L7" s="354" t="str">
        <f ca="1">IFERROR(__xludf.DUMMYFUNCTION("(((H7/GOOGLEFINANCE (""Currency:gbpRON""))/D7)*C7)/100*GOOGLEFINANCE (""Currency:gbpRON"")"),"#N/A")</f>
        <v>#N/A</v>
      </c>
      <c r="M7" s="346" t="e">
        <f t="shared" ca="1" si="2"/>
        <v>#VALUE!</v>
      </c>
      <c r="N7" s="355" t="e">
        <f>Divident_all!#REF!</f>
        <v>#REF!</v>
      </c>
      <c r="O7" s="355" t="e">
        <f>Divident_all!#REF!</f>
        <v>#REF!</v>
      </c>
      <c r="P7" s="356" t="e">
        <f>Divident_all!#REF!</f>
        <v>#REF!</v>
      </c>
      <c r="Q7" s="240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279"/>
      <c r="B8" s="485" t="e">
        <f>Divident_all!#REF!</f>
        <v>#REF!</v>
      </c>
      <c r="C8" s="485" t="e">
        <f>Divident_all!#REF!</f>
        <v>#REF!</v>
      </c>
      <c r="D8" s="481" t="e">
        <f>Divident_all!#REF!</f>
        <v>#REF!</v>
      </c>
      <c r="E8" s="486">
        <f ca="1">IFERROR(__xludf.DUMMYFUNCTION("(((H8/GOOGLEFINANCE (""Currency:USDRON""))/D8)+F8)"),0.603811101112214)</f>
        <v>0.60381110111221403</v>
      </c>
      <c r="F8" s="485" t="e">
        <f>Divident_all!#REF!</f>
        <v>#REF!</v>
      </c>
      <c r="G8" s="481">
        <f ca="1">IFERROR(__xludf.DUMMYFUNCTION("H8/GOOGLEFINANCE (""Currency:USDRON"")"),13.4162157327489)</f>
        <v>13.416215732748899</v>
      </c>
      <c r="H8" s="168">
        <v>60</v>
      </c>
      <c r="I8" s="169" t="e">
        <f t="shared" si="3"/>
        <v>#REF!</v>
      </c>
      <c r="J8" s="481" t="e">
        <f ca="1">((E8*C8)/100)</f>
        <v>#REF!</v>
      </c>
      <c r="K8" s="487">
        <f ca="1">IFERROR(__xludf.DUMMYFUNCTION("(F8*C8)/100*GOOGLEFINANCE (""Currency:USDRON"")"),1.69061324383999)</f>
        <v>1.6906132438399899</v>
      </c>
      <c r="L8" s="482">
        <f ca="1">IFERROR(__xludf.DUMMYFUNCTION("(((H8/GOOGLEFINANCE (""Currency:USDRON""))/D8)*C8)/100*GOOGLEFINANCE (""Currency:USDRON"")"),0.888234382266315)</f>
        <v>0.88823438226631501</v>
      </c>
      <c r="M8" s="318">
        <f t="shared" ca="1" si="2"/>
        <v>0.52539182778955151</v>
      </c>
      <c r="N8" s="488" t="e">
        <f>Divident_all!#REF!</f>
        <v>#REF!</v>
      </c>
      <c r="O8" s="488" t="e">
        <f>Divident_all!#REF!</f>
        <v>#REF!</v>
      </c>
      <c r="P8" s="489" t="e">
        <f>Divident_all!#REF!</f>
        <v>#REF!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279"/>
      <c r="B9" s="311" t="e">
        <f>Divident_all!#REF!</f>
        <v>#REF!</v>
      </c>
      <c r="C9" s="311" t="e">
        <f>Divident_all!#REF!</f>
        <v>#REF!</v>
      </c>
      <c r="D9" s="490" t="e">
        <f>Divident_all!#REF!</f>
        <v>#REF!</v>
      </c>
      <c r="E9" s="313">
        <f ca="1">IFERROR(__xludf.DUMMYFUNCTION("(((H9/GOOGLEFINANCE (""Currency:gbpRON"")*100)/D9)+F9)"),28.4692207161688)</f>
        <v>28.469220716168799</v>
      </c>
      <c r="F9" s="311" t="e">
        <f>Divident_all!#REF!</f>
        <v>#REF!</v>
      </c>
      <c r="G9" s="390">
        <f ca="1">IFERROR(__xludf.DUMMYFUNCTION("H9/GOOGLEFINANCE (""Currency:gbpRON"")"),10.614934514399)</f>
        <v>10.614934514399</v>
      </c>
      <c r="H9" s="314">
        <v>60</v>
      </c>
      <c r="I9" s="315" t="e">
        <f t="shared" si="3"/>
        <v>#REF!</v>
      </c>
      <c r="J9" s="390" t="e">
        <f ca="1">((E9*C9)/100)/100</f>
        <v>#REF!</v>
      </c>
      <c r="K9" s="316">
        <f ca="1">IFERROR(__xludf.DUMMYFUNCTION("((F9*C9)/100*GOOGLEFINANCE (""Currency:gbpRON""))/100"),2.04314166889872)</f>
        <v>2.0431416688987198</v>
      </c>
      <c r="L9" s="317">
        <f ca="1">IFERROR(__xludf.DUMMYFUNCTION("(((H9/GOOGLEFINANCE (""Currency:gbpRON""))/D9)*C9)/100*GOOGLEFINANCE (""Currency:gbpRON"")"),0.845368916797488)</f>
        <v>0.84536891679748805</v>
      </c>
      <c r="M9" s="318">
        <f t="shared" ca="1" si="2"/>
        <v>0.41375932450790504</v>
      </c>
      <c r="N9" s="319" t="e">
        <f>Divident_all!#REF!</f>
        <v>#REF!</v>
      </c>
      <c r="O9" s="319" t="e">
        <f>Divident_all!#REF!</f>
        <v>#REF!</v>
      </c>
      <c r="P9" s="320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279"/>
      <c r="B10" s="471" t="e">
        <f>Divident_all!#REF!</f>
        <v>#REF!</v>
      </c>
      <c r="C10" s="471" t="e">
        <f>Divident_all!#REF!</f>
        <v>#REF!</v>
      </c>
      <c r="D10" s="472" t="e">
        <f>Divident_all!#REF!</f>
        <v>#REF!</v>
      </c>
      <c r="E10" s="473">
        <f ca="1">IFERROR(__xludf.DUMMYFUNCTION("(((H10/GOOGLEFINANCE (""Currency:USDRON""))/D10)+F10)"),0.332016942521221)</f>
        <v>0.33201694252122099</v>
      </c>
      <c r="F10" s="471" t="e">
        <f>Divident_all!#REF!</f>
        <v>#REF!</v>
      </c>
      <c r="G10" s="472">
        <f ca="1">IFERROR(__xludf.DUMMYFUNCTION("H10/GOOGLEFINANCE (""Currency:usdRON"")"),13.4162157327489)</f>
        <v>13.416215732748899</v>
      </c>
      <c r="H10" s="474">
        <v>60</v>
      </c>
      <c r="I10" s="475" t="e">
        <f>D10/(C10)</f>
        <v>#REF!</v>
      </c>
      <c r="J10" s="472" t="e">
        <f t="shared" ref="J10:J24" ca="1" si="5">((E10*C10)/100)</f>
        <v>#REF!</v>
      </c>
      <c r="K10" s="476">
        <f ca="1">IFERROR(__xludf.DUMMYFUNCTION("(F10*C10)/100*GOOGLEFINANCE (""Currency:usdRON"")"),1.65934524932079)</f>
        <v>1.6593452493207901</v>
      </c>
      <c r="L10" s="477">
        <f ca="1">IFERROR(__xludf.DUMMYFUNCTION("(((H10/GOOGLEFINANCE (""Currency:usdRON""))/D10)*C10)/100*GOOGLEFINANCE (""Currency:usdRON"")"),0.805499393449251)</f>
        <v>0.80549939344925103</v>
      </c>
      <c r="M10" s="373">
        <f t="shared" ca="1" si="2"/>
        <v>0.48543206652079263</v>
      </c>
      <c r="N10" s="478" t="e">
        <f>Divident_all!#REF!</f>
        <v>#REF!</v>
      </c>
      <c r="O10" s="478" t="e">
        <f>Divident_all!#REF!</f>
        <v>#REF!</v>
      </c>
      <c r="P10" s="479" t="e">
        <f>Divident_all!#REF!</f>
        <v>#REF!</v>
      </c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279"/>
      <c r="B11" s="339" t="e">
        <f>Divident_all!#REF!</f>
        <v>#REF!</v>
      </c>
      <c r="C11" s="339" t="e">
        <f>Divident_all!#REF!</f>
        <v>#REF!</v>
      </c>
      <c r="D11" s="340" t="e">
        <f>Divident_all!#REF!</f>
        <v>#REF!</v>
      </c>
      <c r="E11" s="341">
        <f ca="1">IFERROR(__xludf.DUMMYFUNCTION("(((H11/GOOGLEFINANCE (""Currency:USDRON""))/D11)+F11)"),1.60084034015596)</f>
        <v>1.6008403401559601</v>
      </c>
      <c r="F11" s="339" t="e">
        <f>Divident_all!#REF!</f>
        <v>#REF!</v>
      </c>
      <c r="G11" s="340">
        <f ca="1">IFERROR(__xludf.DUMMYFUNCTION("H11/GOOGLEFINANCE (""Currency:USDRON"")"),13.4162157327489)</f>
        <v>13.416215732748899</v>
      </c>
      <c r="H11" s="342">
        <v>60</v>
      </c>
      <c r="I11" s="343" t="e">
        <f>D11/C11</f>
        <v>#REF!</v>
      </c>
      <c r="J11" s="340" t="e">
        <f t="shared" ca="1" si="5"/>
        <v>#REF!</v>
      </c>
      <c r="K11" s="344">
        <f ca="1">IFERROR(__xludf.DUMMYFUNCTION("(F11*C11)/100*GOOGLEFINANCE (""Currency:USDRON"")"),1.43688297684)</f>
        <v>1.43688297684</v>
      </c>
      <c r="L11" s="345">
        <f ca="1">IFERROR(__xludf.DUMMYFUNCTION("(((H11/GOOGLEFINANCE (""Currency:USDRON""))/D11)*C11)/100*GOOGLEFINANCE (""Currency:USDRON"")"),0.710900473933649)</f>
        <v>0.71090047393364897</v>
      </c>
      <c r="M11" s="346">
        <f t="shared" ca="1" si="2"/>
        <v>0.49475182418617331</v>
      </c>
      <c r="N11" s="347" t="e">
        <f>Divident_all!#REF!</f>
        <v>#REF!</v>
      </c>
      <c r="O11" s="347" t="e">
        <f>Divident_all!#REF!</f>
        <v>#REF!</v>
      </c>
      <c r="P11" s="348" t="e">
        <f>Divident_all!#REF!</f>
        <v>#REF!</v>
      </c>
      <c r="Q11" s="240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279"/>
      <c r="B12" s="491" t="e">
        <f>Divident_all!#REF!</f>
        <v>#REF!</v>
      </c>
      <c r="C12" s="491" t="e">
        <f>Divident_all!#REF!</f>
        <v>#REF!</v>
      </c>
      <c r="D12" s="492" t="e">
        <f>Divident_all!#REF!</f>
        <v>#REF!</v>
      </c>
      <c r="E12" s="493">
        <f ca="1">IFERROR(__xludf.DUMMYFUNCTION("(((H12/GOOGLEFINANCE (""Currency:USDRON""))/D12)+F12)"),0.933804671934242)</f>
        <v>0.93380467193424199</v>
      </c>
      <c r="F12" s="491" t="e">
        <f>Divident_all!#REF!</f>
        <v>#REF!</v>
      </c>
      <c r="G12" s="492">
        <f ca="1">IFERROR(__xludf.DUMMYFUNCTION("H12/GOOGLEFINANCE (""Currency:USDRON"")"),13.4162157327489)</f>
        <v>13.416215732748899</v>
      </c>
      <c r="H12" s="411">
        <v>60</v>
      </c>
      <c r="I12" s="494" t="e">
        <f>D12/(C12)</f>
        <v>#REF!</v>
      </c>
      <c r="J12" s="492" t="e">
        <f t="shared" ca="1" si="5"/>
        <v>#REF!</v>
      </c>
      <c r="K12" s="495">
        <f ca="1">IFERROR(__xludf.DUMMYFUNCTION("(F12*C12)/100*GOOGLEFINANCE (""Currency:USDRON"")"),1.07309906808199)</f>
        <v>1.0730990680819901</v>
      </c>
      <c r="L12" s="496">
        <f ca="1">IFERROR(__xludf.DUMMYFUNCTION("(((H12/GOOGLEFINANCE (""Currency:USDRON""))/D12)*C12)/100*GOOGLEFINANCE (""Currency:USDRON"")"),0.63912704598597)</f>
        <v>0.63912704598597003</v>
      </c>
      <c r="M12" s="415">
        <f t="shared" ca="1" si="2"/>
        <v>0.59558997393252566</v>
      </c>
      <c r="N12" s="497" t="e">
        <f>Divident_all!#REF!</f>
        <v>#REF!</v>
      </c>
      <c r="O12" s="497" t="e">
        <f>Divident_all!#REF!</f>
        <v>#REF!</v>
      </c>
      <c r="P12" s="498" t="e">
        <f>Divident_all!#REF!</f>
        <v>#REF!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279"/>
      <c r="B13" s="400" t="e">
        <f>Divident_all!#REF!</f>
        <v>#REF!</v>
      </c>
      <c r="C13" s="400" t="e">
        <f>Divident_all!#REF!</f>
        <v>#REF!</v>
      </c>
      <c r="D13" s="401" t="e">
        <f>Divident_all!#REF!</f>
        <v>#REF!</v>
      </c>
      <c r="E13" s="402">
        <f ca="1">IFERROR(__xludf.DUMMYFUNCTION("(((H13/GOOGLEFINANCE (""Currency:USDRON""))/D13)+F13)"),0.403027525812691)</f>
        <v>0.40302752581269102</v>
      </c>
      <c r="F13" s="400" t="e">
        <f>Divident_all!#REF!</f>
        <v>#REF!</v>
      </c>
      <c r="G13" s="401">
        <f ca="1">IFERROR(__xludf.DUMMYFUNCTION("H13/GOOGLEFINANCE (""Currency:USDRON"")"),13.4162157327489)</f>
        <v>13.416215732748899</v>
      </c>
      <c r="H13" s="403">
        <v>60</v>
      </c>
      <c r="I13" s="404" t="e">
        <f t="shared" ref="I13:I24" si="6">D13/C13</f>
        <v>#REF!</v>
      </c>
      <c r="J13" s="401" t="e">
        <f t="shared" ca="1" si="5"/>
        <v>#REF!</v>
      </c>
      <c r="K13" s="499">
        <f ca="1">IFERROR(__xludf.DUMMYFUNCTION("(F13*C13)/100*GOOGLEFINANCE (""Currency:USDRON"")"),1.2045477414732)</f>
        <v>1.2045477414732</v>
      </c>
      <c r="L13" s="405">
        <f ca="1">IFERROR(__xludf.DUMMYFUNCTION("(((H13/GOOGLEFINANCE (""Currency:USDRON""))/D13)*C13)/100*GOOGLEFINANCE (""Currency:USDRON"")"),0.606884057971014)</f>
        <v>0.60688405797101397</v>
      </c>
      <c r="M13" s="397">
        <f t="shared" ca="1" si="2"/>
        <v>0.50382731798473634</v>
      </c>
      <c r="N13" s="406" t="e">
        <f>Divident_all!#REF!</f>
        <v>#REF!</v>
      </c>
      <c r="O13" s="406" t="e">
        <f>Divident_all!#REF!</f>
        <v>#REF!</v>
      </c>
      <c r="P13" s="407" t="e">
        <f>Divident_all!#REF!</f>
        <v>#REF!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279"/>
      <c r="B14" s="311" t="e">
        <f>Divident_all!#REF!</f>
        <v>#REF!</v>
      </c>
      <c r="C14" s="311" t="e">
        <f>Divident_all!#REF!</f>
        <v>#REF!</v>
      </c>
      <c r="D14" s="312" t="e">
        <f>Divident_all!#REF!</f>
        <v>#REF!</v>
      </c>
      <c r="E14" s="313">
        <f ca="1">IFERROR(__xludf.DUMMYFUNCTION("(((H14/GOOGLEFINANCE (""Currency:USDRON""))/D14)+F14)"),1.10943197724265)</f>
        <v>1.10943197724265</v>
      </c>
      <c r="F14" s="311" t="e">
        <f>Divident_all!#REF!</f>
        <v>#REF!</v>
      </c>
      <c r="G14" s="312">
        <f ca="1">IFERROR(__xludf.DUMMYFUNCTION("H14/GOOGLEFINANCE (""Currency:USDRON"")"),12.2981977550199)</f>
        <v>12.298197755019901</v>
      </c>
      <c r="H14" s="314">
        <v>55</v>
      </c>
      <c r="I14" s="315" t="e">
        <f t="shared" si="6"/>
        <v>#REF!</v>
      </c>
      <c r="J14" s="312" t="e">
        <f t="shared" ca="1" si="5"/>
        <v>#REF!</v>
      </c>
      <c r="K14" s="316">
        <f ca="1">IFERROR(__xludf.DUMMYFUNCTION("(F14*C14)/100*GOOGLEFINANCE (""Currency:USDRON"")"),1.38029479555823)</f>
        <v>1.3802947955582301</v>
      </c>
      <c r="L14" s="317">
        <f ca="1">IFERROR(__xludf.DUMMYFUNCTION("(((H14/GOOGLEFINANCE (""Currency:USDRON""))/D14)*C14)/100*GOOGLEFINANCE (""Currency:USDRON"")"),0.587476434150282)</f>
        <v>0.58747643415028195</v>
      </c>
      <c r="M14" s="318">
        <f t="shared" ca="1" si="2"/>
        <v>0.42561664076454764</v>
      </c>
      <c r="N14" s="319" t="e">
        <f>Divident_all!#REF!</f>
        <v>#REF!</v>
      </c>
      <c r="O14" s="319" t="e">
        <f>Divident_all!#REF!</f>
        <v>#REF!</v>
      </c>
      <c r="P14" s="320" t="e">
        <f>Divident_all!#REF!</f>
        <v>#REF!</v>
      </c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</row>
    <row r="15" spans="1:33" ht="12.75">
      <c r="A15" s="279"/>
      <c r="B15" s="400" t="e">
        <f>Divident_all!#REF!</f>
        <v>#REF!</v>
      </c>
      <c r="C15" s="400" t="e">
        <f>Divident_all!#REF!</f>
        <v>#REF!</v>
      </c>
      <c r="D15" s="401" t="e">
        <f>Divident_all!#REF!</f>
        <v>#REF!</v>
      </c>
      <c r="E15" s="402">
        <f ca="1">IFERROR(__xludf.DUMMYFUNCTION("(((H15/GOOGLEFINANCE (""Currency:USDRON""))/D15)+F15)"),0.544286255871629)</f>
        <v>0.54428625587162904</v>
      </c>
      <c r="F15" s="400" t="e">
        <f>Divident_all!#REF!</f>
        <v>#REF!</v>
      </c>
      <c r="G15" s="401">
        <f ca="1">IFERROR(__xludf.DUMMYFUNCTION("H15/GOOGLEFINANCE (""Currency:USDRON"")"),12.2981977550199)</f>
        <v>12.298197755019901</v>
      </c>
      <c r="H15" s="403">
        <v>55</v>
      </c>
      <c r="I15" s="404" t="e">
        <f t="shared" si="6"/>
        <v>#REF!</v>
      </c>
      <c r="J15" s="401" t="e">
        <f t="shared" ca="1" si="5"/>
        <v>#REF!</v>
      </c>
      <c r="K15" s="499">
        <f ca="1">IFERROR(__xludf.DUMMYFUNCTION("(F15*C15)/100*GOOGLEFINANCE (""Currency:USDRON"")"),1.19016556666)</f>
        <v>1.19016556666</v>
      </c>
      <c r="L15" s="405">
        <f ca="1">IFERROR(__xludf.DUMMYFUNCTION("(((H15/GOOGLEFINANCE (""Currency:USDRON""))/D15)*C15)/100*GOOGLEFINANCE (""Currency:USDRON"")"),0.51374432879637)</f>
        <v>0.51374432879637</v>
      </c>
      <c r="M15" s="397">
        <f t="shared" ca="1" si="2"/>
        <v>0.43165786608841933</v>
      </c>
      <c r="N15" s="406" t="e">
        <f>Divident_all!#REF!</f>
        <v>#REF!</v>
      </c>
      <c r="O15" s="406" t="e">
        <f>Divident_all!#REF!</f>
        <v>#REF!</v>
      </c>
      <c r="P15" s="407" t="e">
        <f>Divident_all!#REF!</f>
        <v>#REF!</v>
      </c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279"/>
      <c r="B16" s="311" t="e">
        <f>Divident_all!#REF!</f>
        <v>#REF!</v>
      </c>
      <c r="C16" s="311" t="e">
        <f>Divident_all!#REF!</f>
        <v>#REF!</v>
      </c>
      <c r="D16" s="312" t="e">
        <f>Divident_all!#REF!</f>
        <v>#REF!</v>
      </c>
      <c r="E16" s="313">
        <f ca="1">IFERROR(__xludf.DUMMYFUNCTION("(((H16/GOOGLEFINANCE (""Currency:USDRON""))/D16)+F16)"),0.21741948455165)</f>
        <v>0.21741948455165</v>
      </c>
      <c r="F16" s="311" t="e">
        <f>Divident_all!#REF!</f>
        <v>#REF!</v>
      </c>
      <c r="G16" s="312">
        <f ca="1">IFERROR(__xludf.DUMMYFUNCTION("H16/GOOGLEFINANCE (""Currency:USDRON"")"),12.2981977550199)</f>
        <v>12.298197755019901</v>
      </c>
      <c r="H16" s="314">
        <v>55</v>
      </c>
      <c r="I16" s="315" t="e">
        <f t="shared" si="6"/>
        <v>#REF!</v>
      </c>
      <c r="J16" s="312" t="e">
        <f t="shared" ca="1" si="5"/>
        <v>#REF!</v>
      </c>
      <c r="K16" s="316">
        <f ca="1">IFERROR(__xludf.DUMMYFUNCTION("(F16*C16)/100*GOOGLEFINANCE (""Currency:USDRON"")"),0.949856438943)</f>
        <v>0.94985643894299998</v>
      </c>
      <c r="L16" s="317">
        <f ca="1">IFERROR(__xludf.DUMMYFUNCTION("(((H16/GOOGLEFINANCE (""Currency:USDRON""))/D16)*C16)/100*GOOGLEFINANCE (""Currency:USDRON"")"),0.518382123462954)</f>
        <v>0.51838212346295398</v>
      </c>
      <c r="M16" s="318">
        <f t="shared" ca="1" si="2"/>
        <v>0.54574786484556492</v>
      </c>
      <c r="N16" s="319" t="e">
        <f>Divident_all!#REF!</f>
        <v>#REF!</v>
      </c>
      <c r="O16" s="319" t="e">
        <f>Divident_all!#REF!</f>
        <v>#REF!</v>
      </c>
      <c r="P16" s="320" t="e">
        <f>Divident_all!#REF!</f>
        <v>#REF!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279"/>
      <c r="B17" s="491" t="e">
        <f>Divident_all!#REF!</f>
        <v>#REF!</v>
      </c>
      <c r="C17" s="491" t="e">
        <f>Divident_all!#REF!</f>
        <v>#REF!</v>
      </c>
      <c r="D17" s="492" t="e">
        <f>Divident_all!#REF!</f>
        <v>#REF!</v>
      </c>
      <c r="E17" s="493">
        <f ca="1">IFERROR(__xludf.DUMMYFUNCTION("(((H17/GOOGLEFINANCE (""Currency:USDRON""))/D17)+F17)"),0.223830278208875)</f>
        <v>0.22383027820887499</v>
      </c>
      <c r="F17" s="491" t="e">
        <f>Divident_all!#REF!</f>
        <v>#REF!</v>
      </c>
      <c r="G17" s="492">
        <f ca="1">IFERROR(__xludf.DUMMYFUNCTION("H17/GOOGLEFINANCE (""Currency:USDRON"")"),12.2981977550199)</f>
        <v>12.298197755019901</v>
      </c>
      <c r="H17" s="411">
        <v>55</v>
      </c>
      <c r="I17" s="494" t="e">
        <f t="shared" si="6"/>
        <v>#REF!</v>
      </c>
      <c r="J17" s="492" t="e">
        <f t="shared" ca="1" si="5"/>
        <v>#REF!</v>
      </c>
      <c r="K17" s="495">
        <f ca="1">IFERROR(__xludf.DUMMYFUNCTION("(F17*C17)/100*GOOGLEFINANCE (""Currency:USDRON"")"),0.7888828065104)</f>
        <v>0.78888280651039999</v>
      </c>
      <c r="L17" s="496">
        <f ca="1">IFERROR(__xludf.DUMMYFUNCTION("(((H17/GOOGLEFINANCE (""Currency:USDRON""))/D17)*C17)/100*GOOGLEFINANCE (""Currency:USDRON"")"),0.402323580034423)</f>
        <v>0.40232358003442298</v>
      </c>
      <c r="M17" s="415">
        <f t="shared" ca="1" si="2"/>
        <v>0.50999156872753959</v>
      </c>
      <c r="N17" s="497" t="e">
        <f>Divident_all!#REF!</f>
        <v>#REF!</v>
      </c>
      <c r="O17" s="497" t="e">
        <f>Divident_all!#REF!</f>
        <v>#REF!</v>
      </c>
      <c r="P17" s="498" t="e">
        <f>Divident_all!#REF!</f>
        <v>#REF!</v>
      </c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279"/>
      <c r="B18" s="418" t="e">
        <f>Divident_all!#REF!</f>
        <v>#REF!</v>
      </c>
      <c r="C18" s="418" t="e">
        <f>Divident_all!#REF!</f>
        <v>#REF!</v>
      </c>
      <c r="D18" s="419" t="e">
        <f>Divident_all!#REF!</f>
        <v>#REF!</v>
      </c>
      <c r="E18" s="420">
        <f ca="1">IFERROR(__xludf.DUMMYFUNCTION("(((H18/GOOGLEFINANCE (""Currency:USDRON""))/D18)+F18)"),0.137623482300957)</f>
        <v>0.137623482300957</v>
      </c>
      <c r="F18" s="418" t="e">
        <f>Divident_all!#REF!</f>
        <v>#REF!</v>
      </c>
      <c r="G18" s="419">
        <f ca="1">IFERROR(__xludf.DUMMYFUNCTION("H18/GOOGLEFINANCE (""Currency:USDRON"")"),11.1801797772908)</f>
        <v>11.1801797772908</v>
      </c>
      <c r="H18" s="421">
        <v>50</v>
      </c>
      <c r="I18" s="422" t="e">
        <f t="shared" si="6"/>
        <v>#REF!</v>
      </c>
      <c r="J18" s="419" t="e">
        <f t="shared" ca="1" si="5"/>
        <v>#REF!</v>
      </c>
      <c r="K18" s="483">
        <f ca="1">IFERROR(__xludf.DUMMYFUNCTION("(F18*C18)/100*GOOGLEFINANCE (""Currency:USDRON"")"),0.619541106491799)</f>
        <v>0.61954110649179905</v>
      </c>
      <c r="L18" s="424">
        <f ca="1">IFERROR(__xludf.DUMMYFUNCTION("(((H18/GOOGLEFINANCE (""Currency:USDRON""))/D18)*C18)/100*GOOGLEFINANCE (""Currency:USDRON"")"),0.346762081455959)</f>
        <v>0.34676208145595899</v>
      </c>
      <c r="M18" s="425">
        <f t="shared" ca="1" si="2"/>
        <v>0.55970794806421631</v>
      </c>
      <c r="N18" s="426" t="e">
        <f>Divident_all!#REF!</f>
        <v>#REF!</v>
      </c>
      <c r="O18" s="426" t="e">
        <f>Divident_all!#REF!</f>
        <v>#REF!</v>
      </c>
      <c r="P18" s="427" t="e">
        <f>Divident_all!#REF!</f>
        <v>#REF!</v>
      </c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279"/>
      <c r="B19" s="418" t="e">
        <f>Divident_all!#REF!</f>
        <v>#REF!</v>
      </c>
      <c r="C19" s="418" t="e">
        <f>Divident_all!#REF!</f>
        <v>#REF!</v>
      </c>
      <c r="D19" s="419" t="e">
        <f>Divident_all!#REF!</f>
        <v>#REF!</v>
      </c>
      <c r="E19" s="420">
        <f ca="1">IFERROR(__xludf.DUMMYFUNCTION("(((H19/GOOGLEFINANCE (""Currency:USDRON""))/D19)+F19)"),0.37668458503899)</f>
        <v>0.37668458503898999</v>
      </c>
      <c r="F19" s="418" t="e">
        <f>Divident_all!#REF!</f>
        <v>#REF!</v>
      </c>
      <c r="G19" s="419">
        <f ca="1">IFERROR(__xludf.DUMMYFUNCTION("H19/GOOGLEFINANCE (""Currency:USDRON"")"),11.1801797772908)</f>
        <v>11.1801797772908</v>
      </c>
      <c r="H19" s="421">
        <v>50</v>
      </c>
      <c r="I19" s="422" t="e">
        <f t="shared" si="6"/>
        <v>#REF!</v>
      </c>
      <c r="J19" s="419" t="e">
        <f t="shared" ca="1" si="5"/>
        <v>#REF!</v>
      </c>
      <c r="K19" s="423">
        <f ca="1">IFERROR(__xludf.DUMMYFUNCTION("(F19*C19)/100*GOOGLEFINANCE (""Currency:USDRON"")"),0.567939704591999)</f>
        <v>0.56793970459199905</v>
      </c>
      <c r="L19" s="424">
        <f ca="1">IFERROR(__xludf.DUMMYFUNCTION("(((H19/GOOGLEFINANCE (""Currency:USDRON""))/D19)*C19)/100*GOOGLEFINANCE (""Currency:USDRON"")"),0.308056872037914)</f>
        <v>0.30805687203791399</v>
      </c>
      <c r="M19" s="500">
        <f t="shared" ca="1" si="2"/>
        <v>0.54241122701435052</v>
      </c>
      <c r="N19" s="426" t="e">
        <f>Divident_all!#REF!</f>
        <v>#REF!</v>
      </c>
      <c r="O19" s="426" t="e">
        <f>Divident_all!#REF!</f>
        <v>#REF!</v>
      </c>
      <c r="P19" s="427" t="e">
        <f>Divident_all!#REF!</f>
        <v>#REF!</v>
      </c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279"/>
      <c r="B20" s="391" t="e">
        <f>Divident_all!#REF!</f>
        <v>#REF!</v>
      </c>
      <c r="C20" s="391" t="e">
        <f>Divident_all!#REF!</f>
        <v>#REF!</v>
      </c>
      <c r="D20" s="392" t="e">
        <f>Divident_all!#REF!</f>
        <v>#REF!</v>
      </c>
      <c r="E20" s="393">
        <f ca="1">IFERROR(__xludf.DUMMYFUNCTION("(((H20/GOOGLEFINANCE (""Currency:USDRON""))/D20)+F20)"),0.29224720994236)</f>
        <v>0.29224720994235998</v>
      </c>
      <c r="F20" s="391" t="e">
        <f>Divident_all!#REF!</f>
        <v>#REF!</v>
      </c>
      <c r="G20" s="392">
        <f ca="1">IFERROR(__xludf.DUMMYFUNCTION("H20/GOOGLEFINANCE (""Currency:USDRON"")"),10.0621617995617)</f>
        <v>10.0621617995617</v>
      </c>
      <c r="H20" s="100">
        <v>45</v>
      </c>
      <c r="I20" s="394" t="e">
        <f t="shared" si="6"/>
        <v>#REF!</v>
      </c>
      <c r="J20" s="392" t="e">
        <f t="shared" ca="1" si="5"/>
        <v>#REF!</v>
      </c>
      <c r="K20" s="395">
        <f ca="1">IFERROR(__xludf.DUMMYFUNCTION("(F20*C20)/100*GOOGLEFINANCE (""Currency:USDRON"")"),0.322702234835999)</f>
        <v>0.32270223483599902</v>
      </c>
      <c r="L20" s="396">
        <f ca="1">IFERROR(__xludf.DUMMYFUNCTION("(((H20/GOOGLEFINANCE (""Currency:USDRON""))/D20)*C20)/100*GOOGLEFINANCE (""Currency:USDRON"")"),0.196825484154929)</f>
        <v>0.19682548415492901</v>
      </c>
      <c r="M20" s="501">
        <f t="shared" ca="1" si="2"/>
        <v>0.60992910152902402</v>
      </c>
      <c r="N20" s="398" t="e">
        <f>Divident_all!#REF!</f>
        <v>#REF!</v>
      </c>
      <c r="O20" s="398" t="e">
        <f>Divident_all!#REF!</f>
        <v>#REF!</v>
      </c>
      <c r="P20" s="399" t="e">
        <f>Divident_all!#REF!</f>
        <v>#REF!</v>
      </c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279"/>
      <c r="B21" s="418" t="e">
        <f>Divident_all!#REF!</f>
        <v>#REF!</v>
      </c>
      <c r="C21" s="418" t="e">
        <f>Divident_all!#REF!</f>
        <v>#REF!</v>
      </c>
      <c r="D21" s="419" t="e">
        <f>Divident_all!#REF!</f>
        <v>#REF!</v>
      </c>
      <c r="E21" s="420">
        <f ca="1">IFERROR(__xludf.DUMMYFUNCTION("(((H21/GOOGLEFINANCE (""Currency:USDRON""))/D21)+F21)"),0.0838443043491201)</f>
        <v>8.3844304349120102E-2</v>
      </c>
      <c r="F21" s="418" t="e">
        <f>Divident_all!#REF!</f>
        <v>#REF!</v>
      </c>
      <c r="G21" s="419">
        <f ca="1">IFERROR(__xludf.DUMMYFUNCTION("H21/GOOGLEFINANCE (""Currency:USDRON"")"),10.0621617995617)</f>
        <v>10.0621617995617</v>
      </c>
      <c r="H21" s="421">
        <v>45</v>
      </c>
      <c r="I21" s="422" t="e">
        <f t="shared" si="6"/>
        <v>#REF!</v>
      </c>
      <c r="J21" s="419" t="e">
        <f t="shared" ca="1" si="5"/>
        <v>#REF!</v>
      </c>
      <c r="K21" s="423">
        <f ca="1">IFERROR(__xludf.DUMMYFUNCTION("(F21*C21)/100*GOOGLEFINANCE (""Currency:USDRON"")"),0.355133394908799)</f>
        <v>0.35513339490879903</v>
      </c>
      <c r="L21" s="424">
        <f ca="1">IFERROR(__xludf.DUMMYFUNCTION("(((H21/GOOGLEFINANCE (""Currency:USDRON""))/D21)*C21)/100*GOOGLEFINANCE (""Currency:USDRON"")"),0.199819981998199)</f>
        <v>0.199819981998199</v>
      </c>
      <c r="M21" s="500">
        <f t="shared" ca="1" si="2"/>
        <v>0.56266176277089996</v>
      </c>
      <c r="N21" s="426" t="e">
        <f>Divident_all!#REF!</f>
        <v>#REF!</v>
      </c>
      <c r="O21" s="426" t="e">
        <f>Divident_all!#REF!</f>
        <v>#REF!</v>
      </c>
      <c r="P21" s="427" t="e">
        <f>Divident_all!#REF!</f>
        <v>#REF!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279"/>
      <c r="B22" s="280" t="e">
        <f>Divident_all!#REF!</f>
        <v>#REF!</v>
      </c>
      <c r="C22" s="280" t="e">
        <f>Divident_all!#REF!</f>
        <v>#REF!</v>
      </c>
      <c r="D22" s="281" t="e">
        <f>Divident_all!#REF!</f>
        <v>#REF!</v>
      </c>
      <c r="E22" s="282">
        <f ca="1">IFERROR(__xludf.DUMMYFUNCTION("(((H22/GOOGLEFINANCE (""Currency:USDRON""))/D22)+F22)"),1.09116471405181)</f>
        <v>1.0911647140518099</v>
      </c>
      <c r="F22" s="280" t="e">
        <f>Divident_all!#REF!</f>
        <v>#REF!</v>
      </c>
      <c r="G22" s="281">
        <f ca="1">IFERROR(__xludf.DUMMYFUNCTION("H22/GOOGLEFINANCE (""Currency:USDRON"")"),10.0621617995617)</f>
        <v>10.0621617995617</v>
      </c>
      <c r="H22" s="283">
        <v>45</v>
      </c>
      <c r="I22" s="284" t="e">
        <f t="shared" si="6"/>
        <v>#REF!</v>
      </c>
      <c r="J22" s="281" t="e">
        <f t="shared" ca="1" si="5"/>
        <v>#REF!</v>
      </c>
      <c r="K22" s="330">
        <f ca="1">IFERROR(__xludf.DUMMYFUNCTION("(F22*C22)/100*GOOGLEFINANCE (""Currency:USDRON"")"),1.062088712931)</f>
        <v>1.0620887129309999</v>
      </c>
      <c r="L22" s="286">
        <f ca="1">IFERROR(__xludf.DUMMYFUNCTION("(((H22/GOOGLEFINANCE (""Currency:USDRON""))/D22)*C22)/100*GOOGLEFINANCE (""Currency:USDRON"")"),0.182287529785544)</f>
        <v>0.18228752978554399</v>
      </c>
      <c r="M22" s="469">
        <f t="shared" ca="1" si="2"/>
        <v>0.17163117126298522</v>
      </c>
      <c r="N22" s="288" t="e">
        <f>Divident_all!#REF!</f>
        <v>#REF!</v>
      </c>
      <c r="O22" s="288" t="e">
        <f>Divident_all!#REF!</f>
        <v>#REF!</v>
      </c>
      <c r="P22" s="289" t="e">
        <f>Divident_all!#REF!</f>
        <v>#REF!</v>
      </c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279"/>
      <c r="B23" s="366" t="e">
        <f>Divident_all!#REF!</f>
        <v>#REF!</v>
      </c>
      <c r="C23" s="366" t="e">
        <f>Divident_all!#REF!</f>
        <v>#REF!</v>
      </c>
      <c r="D23" s="367" t="e">
        <f>Divident_all!#REF!</f>
        <v>#REF!</v>
      </c>
      <c r="E23" s="368">
        <f ca="1">IFERROR(__xludf.DUMMYFUNCTION("(((H23/GOOGLEFINANCE (""Currency:USDRON""))/D23)+F23)"),0.134635261819211)</f>
        <v>0.13463526181921101</v>
      </c>
      <c r="F23" s="366" t="e">
        <f>Divident_all!#REF!</f>
        <v>#REF!</v>
      </c>
      <c r="G23" s="367">
        <f ca="1">IFERROR(__xludf.DUMMYFUNCTION("H23/GOOGLEFINANCE (""Currency:usdRON"")"),10.0621617995617)</f>
        <v>10.0621617995617</v>
      </c>
      <c r="H23" s="369">
        <v>45</v>
      </c>
      <c r="I23" s="370" t="e">
        <f t="shared" si="6"/>
        <v>#REF!</v>
      </c>
      <c r="J23" s="367" t="e">
        <f t="shared" ca="1" si="5"/>
        <v>#REF!</v>
      </c>
      <c r="K23" s="371">
        <f ca="1">IFERROR(__xludf.DUMMYFUNCTION("(F23*C23)/100*GOOGLEFINANCE (""Currency:usdRON"")"),0.300406153291199)</f>
        <v>0.30040615329119902</v>
      </c>
      <c r="L23" s="372">
        <f ca="1">IFERROR(__xludf.DUMMYFUNCTION("(((H23/GOOGLEFINANCE (""Currency:usdRON""))/D23)*C23)/100*GOOGLEFINANCE (""Currency:usdRON"")"),0.109032602886157)</f>
        <v>0.109032602886157</v>
      </c>
      <c r="M23" s="480">
        <f t="shared" ca="1" si="2"/>
        <v>0.36295063097614427</v>
      </c>
      <c r="N23" s="374" t="e">
        <f>Divident_all!#REF!</f>
        <v>#REF!</v>
      </c>
      <c r="O23" s="374" t="e">
        <f>Divident_all!#REF!</f>
        <v>#REF!</v>
      </c>
      <c r="P23" s="375" t="e">
        <f>Divident_all!#REF!</f>
        <v>#REF!</v>
      </c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</row>
    <row r="24" spans="1:33" ht="12.75">
      <c r="A24" s="279"/>
      <c r="B24" s="366" t="e">
        <f>Divident_all!#REF!</f>
        <v>#REF!</v>
      </c>
      <c r="C24" s="366" t="e">
        <f>Divident_all!#REF!</f>
        <v>#REF!</v>
      </c>
      <c r="D24" s="367" t="e">
        <f>Divident_all!#REF!</f>
        <v>#REF!</v>
      </c>
      <c r="E24" s="368">
        <f ca="1">IFERROR(__xludf.DUMMYFUNCTION("(((H24/GOOGLEFINANCE (""Currency:USDRON""))/D24)+F24)"),0.158323570829248)</f>
        <v>0.158323570829248</v>
      </c>
      <c r="F24" s="366" t="e">
        <f>Divident_all!#REF!</f>
        <v>#REF!</v>
      </c>
      <c r="G24" s="367">
        <f ca="1">IFERROR(__xludf.DUMMYFUNCTION("H24/GOOGLEFINANCE (""Currency:USDRON"")"),8.94414382183265)</f>
        <v>8.9441438218326503</v>
      </c>
      <c r="H24" s="369">
        <v>40</v>
      </c>
      <c r="I24" s="370" t="e">
        <f t="shared" si="6"/>
        <v>#REF!</v>
      </c>
      <c r="J24" s="367" t="e">
        <f t="shared" ca="1" si="5"/>
        <v>#REF!</v>
      </c>
      <c r="K24" s="371">
        <f ca="1">IFERROR(__xludf.DUMMYFUNCTION("(F24*C24)/100*GOOGLEFINANCE (""Currency:USDRON"")"),0.1146240244368)</f>
        <v>0.1146240244368</v>
      </c>
      <c r="L24" s="372">
        <f ca="1">IFERROR(__xludf.DUMMYFUNCTION("(((H24/GOOGLEFINANCE (""Currency:USDRON""))/D24)*C24)/100*GOOGLEFINANCE (""Currency:USDRON"")"),0.0553090971942155)</f>
        <v>5.5309097194215499E-2</v>
      </c>
      <c r="M24" s="480">
        <f t="shared" ca="1" si="2"/>
        <v>0.48252621966445747</v>
      </c>
      <c r="N24" s="374" t="e">
        <f>Divident_all!#REF!</f>
        <v>#REF!</v>
      </c>
      <c r="O24" s="374" t="e">
        <f>Divident_all!#REF!</f>
        <v>#REF!</v>
      </c>
      <c r="P24" s="375" t="e">
        <f>Divident_all!#REF!</f>
        <v>#REF!</v>
      </c>
      <c r="Q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</row>
    <row r="25" spans="1:33" ht="12.75">
      <c r="A25" s="172"/>
      <c r="B25" s="376"/>
      <c r="C25" s="376"/>
      <c r="D25" s="377"/>
      <c r="E25" s="378"/>
      <c r="F25" s="376"/>
      <c r="G25" s="377"/>
      <c r="H25" s="376"/>
      <c r="I25" s="379"/>
      <c r="J25" s="377"/>
      <c r="K25" s="380"/>
      <c r="L25" s="380"/>
      <c r="M25" s="380"/>
      <c r="N25" s="381"/>
      <c r="O25" s="381"/>
      <c r="P25" s="38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</row>
    <row r="26" spans="1:33" ht="12.75">
      <c r="A26" s="172"/>
      <c r="B26" s="376"/>
      <c r="C26" s="376"/>
      <c r="D26" s="377"/>
      <c r="E26" s="378"/>
      <c r="F26" s="376"/>
      <c r="G26" s="377"/>
      <c r="H26" s="376"/>
      <c r="I26" s="379"/>
      <c r="J26" s="377"/>
      <c r="K26" s="380"/>
      <c r="L26" s="380"/>
      <c r="M26" s="380"/>
      <c r="N26" s="381"/>
      <c r="O26" s="381"/>
      <c r="P26" s="38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G27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40</v>
      </c>
      <c r="L2" s="276">
        <f ca="1">((L4*4)*100)/(500+K2)</f>
        <v>4.4468865696382798</v>
      </c>
      <c r="M2" s="13">
        <v>25</v>
      </c>
      <c r="N2" s="13"/>
      <c r="O2" s="13"/>
      <c r="P2" s="13"/>
    </row>
    <row r="3" spans="1:33" ht="15.75" customHeight="1">
      <c r="A3" s="277" t="s">
        <v>31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AVERAGE(C5:C26)</f>
        <v>#REF!</v>
      </c>
      <c r="D4" s="124" t="e">
        <f t="shared" si="0"/>
        <v>#REF!</v>
      </c>
      <c r="E4" s="278">
        <f t="shared" ca="1" si="0"/>
        <v>0.55830987744965688</v>
      </c>
      <c r="F4" s="122"/>
      <c r="G4" s="253">
        <f ca="1">SUM(G5:G26)</f>
        <v>126.33603148338618</v>
      </c>
      <c r="H4" s="122">
        <f>500+K2+M2-SUM(H5:H26)</f>
        <v>0</v>
      </c>
      <c r="I4" s="124"/>
      <c r="J4" s="124" t="e">
        <f t="shared" ref="J4:L4" ca="1" si="1">SUM(J5:J26)</f>
        <v>#REF!</v>
      </c>
      <c r="K4" s="129">
        <f t="shared" ca="1" si="1"/>
        <v>20.94677546696964</v>
      </c>
      <c r="L4" s="129">
        <f t="shared" ca="1" si="1"/>
        <v>6.0032968690116775</v>
      </c>
      <c r="M4" s="123">
        <f t="shared" ref="M4:M26" ca="1" si="2">L4/K4</f>
        <v>0.28659766170111012</v>
      </c>
      <c r="N4" s="131"/>
      <c r="O4" s="131"/>
      <c r="P4" s="132"/>
    </row>
    <row r="5" spans="1:33" ht="12.75">
      <c r="A5" s="502"/>
      <c r="B5" s="280" t="e">
        <f>Divident_all!#REF!</f>
        <v>#REF!</v>
      </c>
      <c r="C5" s="280" t="e">
        <f>Divident_all!#REF!</f>
        <v>#REF!</v>
      </c>
      <c r="D5" s="281" t="e">
        <f>Divident_all!#REF!</f>
        <v>#REF!</v>
      </c>
      <c r="E5" s="282">
        <f ca="1">IFERROR(__xludf.DUMMYFUNCTION("(((H5/GOOGLEFINANCE (""Currency:USDRON""))/D5)+F5)"),2.76356255415375)</f>
        <v>2.7635625541537499</v>
      </c>
      <c r="F5" s="280" t="e">
        <f>Divident_all!#REF!</f>
        <v>#REF!</v>
      </c>
      <c r="G5" s="281">
        <f ca="1">IFERROR(__xludf.DUMMYFUNCTION("H5/GOOGLEFINANCE (""Currency:USDRON"")"),7.82612584410357)</f>
        <v>7.8261258441035704</v>
      </c>
      <c r="H5" s="283">
        <v>35</v>
      </c>
      <c r="I5" s="284" t="e">
        <f>D5/C5</f>
        <v>#REF!</v>
      </c>
      <c r="J5" s="281" t="e">
        <f t="shared" ref="J5:J26" ca="1" si="3">((E5*C5)/100)</f>
        <v>#REF!</v>
      </c>
      <c r="K5" s="330">
        <f ca="1">IFERROR(__xludf.DUMMYFUNCTION("(F5*C5)/100*GOOGLEFINANCE (""Currency:USDRON"")"),3.70911388064)</f>
        <v>3.7091138806399999</v>
      </c>
      <c r="L5" s="286">
        <f ca="1">IFERROR(__xludf.DUMMYFUNCTION("(((H5/GOOGLEFINANCE (""Currency:USDRON""))/D5)*C5)/100*GOOGLEFINANCE (""Currency:USDRON"")"),1.23456790123456)</f>
        <v>1.2345679012345601</v>
      </c>
      <c r="M5" s="287">
        <f t="shared" ca="1" si="2"/>
        <v>0.33284712763295848</v>
      </c>
      <c r="N5" s="288" t="e">
        <f>Divident_all!#REF!</f>
        <v>#REF!</v>
      </c>
      <c r="O5" s="288" t="e">
        <f>Divident_all!#REF!</f>
        <v>#REF!</v>
      </c>
      <c r="P5" s="289" t="e">
        <f>Divident_all!#REF!</f>
        <v>#REF!</v>
      </c>
      <c r="Q5" s="172"/>
      <c r="R5" s="290"/>
    </row>
    <row r="6" spans="1:33" ht="12.75">
      <c r="A6" s="503" t="s">
        <v>218</v>
      </c>
      <c r="B6" s="321" t="e">
        <f>Divident_all!#REF!</f>
        <v>#REF!</v>
      </c>
      <c r="C6" s="321" t="e">
        <f>Divident_all!#REF!</f>
        <v>#REF!</v>
      </c>
      <c r="D6" s="322" t="e">
        <f>Divident_all!#REF!</f>
        <v>#REF!</v>
      </c>
      <c r="E6" s="323">
        <f ca="1">IFERROR(__xludf.DUMMYFUNCTION("(((H6/GOOGLEFINANCE (""Currency:USDRON""))/D6)+F6)"),2.18715859073775)</f>
        <v>2.18715859073775</v>
      </c>
      <c r="F6" s="321" t="e">
        <f>Divident_all!#REF!</f>
        <v>#REF!</v>
      </c>
      <c r="G6" s="322">
        <f ca="1">IFERROR(__xludf.DUMMYFUNCTION("H6/GOOGLEFINANCE (""Currency:usdRON"")"),15.6522516882071)</f>
        <v>15.6522516882071</v>
      </c>
      <c r="H6" s="324">
        <v>70</v>
      </c>
      <c r="I6" s="325" t="e">
        <f>D6/(C6*3)</f>
        <v>#REF!</v>
      </c>
      <c r="J6" s="322" t="e">
        <f t="shared" ca="1" si="3"/>
        <v>#REF!</v>
      </c>
      <c r="K6" s="326">
        <f ca="1">IFERROR(__xludf.DUMMYFUNCTION("(F6*C6)/100*GOOGLEFINANCE (""Currency:usdRON"")"),2.234805186295)</f>
        <v>2.234805186295</v>
      </c>
      <c r="L6" s="327">
        <f ca="1">IFERROR(__xludf.DUMMYFUNCTION("(((H6/GOOGLEFINANCE (""Currency:usdRON""))/D6)*C6)/100*GOOGLEFINANCE (""Currency:usdRON"")"),0.455082742316784)</f>
        <v>0.45508274231678397</v>
      </c>
      <c r="M6" s="287">
        <f t="shared" ca="1" si="2"/>
        <v>0.20363418928307064</v>
      </c>
      <c r="N6" s="328" t="e">
        <f>Divident_all!#REF!</f>
        <v>#REF!</v>
      </c>
      <c r="O6" s="328" t="e">
        <f>Divident_all!#REF!</f>
        <v>#REF!</v>
      </c>
      <c r="P6" s="329" t="e">
        <f>Divident_all!#REF!</f>
        <v>#REF!</v>
      </c>
      <c r="Q6" s="240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</row>
    <row r="7" spans="1:33" ht="12.75">
      <c r="A7" s="502"/>
      <c r="B7" s="504" t="e">
        <f>Divident_all!#REF!</f>
        <v>#REF!</v>
      </c>
      <c r="C7" s="504" t="e">
        <f>Divident_all!#REF!</f>
        <v>#REF!</v>
      </c>
      <c r="D7" s="505" t="e">
        <f>Divident_all!#REF!</f>
        <v>#REF!</v>
      </c>
      <c r="E7" s="506">
        <f ca="1">IFERROR(__xludf.DUMMYFUNCTION("(((H7/GOOGLEFINANCE (""Currency:USDRON""))/D7)+F7)"),0.705256438973684)</f>
        <v>0.70525643897368395</v>
      </c>
      <c r="F7" s="504" t="e">
        <f>Divident_all!#REF!</f>
        <v>#REF!</v>
      </c>
      <c r="G7" s="505">
        <f ca="1">IFERROR(__xludf.DUMMYFUNCTION("H7/GOOGLEFINANCE (""Currency:USDRON"")"),6.70810786637449)</f>
        <v>6.7081078663744904</v>
      </c>
      <c r="H7" s="507">
        <v>30</v>
      </c>
      <c r="I7" s="508" t="e">
        <f t="shared" ref="I7:I9" si="4">D7/C7</f>
        <v>#REF!</v>
      </c>
      <c r="J7" s="505" t="e">
        <f t="shared" ca="1" si="3"/>
        <v>#REF!</v>
      </c>
      <c r="K7" s="509">
        <f ca="1">IFERROR(__xludf.DUMMYFUNCTION("(F7*C7)/100*GOOGLEFINANCE (""Currency:USDRON"")"),1.54056974870699)</f>
        <v>1.54056974870699</v>
      </c>
      <c r="L7" s="510">
        <f ca="1">IFERROR(__xludf.DUMMYFUNCTION("(((H7/GOOGLEFINANCE (""Currency:USDRON""))/D7)*C7)/100*GOOGLEFINANCE (""Currency:USDRON"")"),0.517446471054718)</f>
        <v>0.51744647105471797</v>
      </c>
      <c r="M7" s="511">
        <f t="shared" ca="1" si="2"/>
        <v>0.33587993759387658</v>
      </c>
      <c r="N7" s="512" t="e">
        <f>Divident_all!#REF!</f>
        <v>#REF!</v>
      </c>
      <c r="O7" s="512" t="e">
        <f>Divident_all!#REF!</f>
        <v>#REF!</v>
      </c>
      <c r="P7" s="513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502"/>
      <c r="B8" s="301" t="e">
        <f>Divident_all!#REF!</f>
        <v>#REF!</v>
      </c>
      <c r="C8" s="301" t="e">
        <f>Divident_all!#REF!</f>
        <v>#REF!</v>
      </c>
      <c r="D8" s="302" t="e">
        <f>Divident_all!#REF!</f>
        <v>#REF!</v>
      </c>
      <c r="E8" s="303">
        <f ca="1">IFERROR(__xludf.DUMMYFUNCTION("(((H8/GOOGLEFINANCE (""Currency:USDRON""))/D8)+F8)"),0.477452219747675)</f>
        <v>0.47745221974767499</v>
      </c>
      <c r="F8" s="301" t="e">
        <f>Divident_all!#REF!</f>
        <v>#REF!</v>
      </c>
      <c r="G8" s="302">
        <f ca="1">IFERROR(__xludf.DUMMYFUNCTION("H8/GOOGLEFINANCE (""Currency:USDRON"")"),6.70810786637449)</f>
        <v>6.7081078663744904</v>
      </c>
      <c r="H8" s="304">
        <v>30</v>
      </c>
      <c r="I8" s="305" t="e">
        <f t="shared" si="4"/>
        <v>#REF!</v>
      </c>
      <c r="J8" s="302" t="e">
        <f t="shared" ca="1" si="3"/>
        <v>#REF!</v>
      </c>
      <c r="K8" s="306">
        <f ca="1">IFERROR(__xludf.DUMMYFUNCTION("(F8*C8)/100*GOOGLEFINANCE (""Currency:USDRON"")"),1.247967946664)</f>
        <v>1.2479679466639999</v>
      </c>
      <c r="L8" s="307">
        <f ca="1">IFERROR(__xludf.DUMMYFUNCTION("(((H8/GOOGLEFINANCE (""Currency:USDRON""))/D8)*C8)/100*GOOGLEFINANCE (""Currency:USDRON"")"),0.438888888888888)</f>
        <v>0.438888888888888</v>
      </c>
      <c r="M8" s="308">
        <f t="shared" ca="1" si="2"/>
        <v>0.35168282171196941</v>
      </c>
      <c r="N8" s="309" t="e">
        <f>Divident_all!#REF!</f>
        <v>#REF!</v>
      </c>
      <c r="O8" s="309" t="e">
        <f>Divident_all!#REF!</f>
        <v>#REF!</v>
      </c>
      <c r="P8" s="310" t="e">
        <f>Divident_all!#REF!</f>
        <v>#REF!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502"/>
      <c r="B9" s="514" t="e">
        <f>Divident_all!#REF!</f>
        <v>#REF!</v>
      </c>
      <c r="C9" s="514" t="e">
        <f>Divident_all!#REF!</f>
        <v>#REF!</v>
      </c>
      <c r="D9" s="515" t="e">
        <f>Divident_all!#REF!</f>
        <v>#REF!</v>
      </c>
      <c r="E9" s="516">
        <f ca="1">IFERROR(__xludf.DUMMYFUNCTION("(((H9/GOOGLEFINANCE (""Currency:USDRON""))/D9)+F9)"),1.41621599219932)</f>
        <v>1.41621599219932</v>
      </c>
      <c r="F9" s="514" t="e">
        <f>Divident_all!#REF!</f>
        <v>#REF!</v>
      </c>
      <c r="G9" s="515">
        <f ca="1">IFERROR(__xludf.DUMMYFUNCTION("H9/GOOGLEFINANCE (""Currency:USDRON"")"),6.70810786637449)</f>
        <v>6.7081078663744904</v>
      </c>
      <c r="H9" s="507">
        <v>30</v>
      </c>
      <c r="I9" s="517" t="e">
        <f t="shared" si="4"/>
        <v>#REF!</v>
      </c>
      <c r="J9" s="515" t="e">
        <f t="shared" ca="1" si="3"/>
        <v>#REF!</v>
      </c>
      <c r="K9" s="518">
        <f ca="1">IFERROR(__xludf.DUMMYFUNCTION("(E9*C9)/100*GOOGLEFINANCE (""Currency:usdRON"")"),1.75757432198708)</f>
        <v>1.7575743219870801</v>
      </c>
      <c r="L9" s="519">
        <f ca="1">IFERROR(__xludf.DUMMYFUNCTION("(((H9/GOOGLEFINANCE (""Currency:usdRON""))/D9)*C9)/100*GOOGLEFINANCE (""Currency:usdRON"")"),0.485989492119089)</f>
        <v>0.48598949211908898</v>
      </c>
      <c r="M9" s="511">
        <f t="shared" ca="1" si="2"/>
        <v>0.27651148861212227</v>
      </c>
      <c r="N9" s="520" t="e">
        <f>Divident_all!#REF!</f>
        <v>#REF!</v>
      </c>
      <c r="O9" s="520" t="e">
        <f>Divident_all!#REF!</f>
        <v>#REF!</v>
      </c>
      <c r="P9" s="521" t="e">
        <f>Divident_all!#REF!</f>
        <v>#REF!</v>
      </c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502"/>
      <c r="B10" s="280" t="e">
        <f>Divident_all!#REF!</f>
        <v>#REF!</v>
      </c>
      <c r="C10" s="280" t="e">
        <f>Divident_all!#REF!</f>
        <v>#REF!</v>
      </c>
      <c r="D10" s="281" t="e">
        <f>Divident_all!#REF!</f>
        <v>#REF!</v>
      </c>
      <c r="E10" s="282">
        <f ca="1">IFERROR(__xludf.DUMMYFUNCTION("(((H10/GOOGLEFINANCE (""Currency:USDRON""))/D10)+F10)"),0.7106645217456)</f>
        <v>0.71066452174560002</v>
      </c>
      <c r="F10" s="280" t="e">
        <f>Divident_all!#REF!</f>
        <v>#REF!</v>
      </c>
      <c r="G10" s="281">
        <f ca="1">IFERROR(__xludf.DUMMYFUNCTION("H10/GOOGLEFINANCE (""Currency:USDRON"")"),6.70810786637449)</f>
        <v>6.7081078663744904</v>
      </c>
      <c r="H10" s="283">
        <v>30</v>
      </c>
      <c r="I10" s="284" t="e">
        <f>D10/(C10)</f>
        <v>#REF!</v>
      </c>
      <c r="J10" s="281" t="e">
        <f t="shared" ca="1" si="3"/>
        <v>#REF!</v>
      </c>
      <c r="K10" s="330">
        <f ca="1">IFERROR(__xludf.DUMMYFUNCTION("(F10*C10)/100*GOOGLEFINANCE (""Currency:USDRON"")"),1.37674150207)</f>
        <v>1.37674150207</v>
      </c>
      <c r="L10" s="286">
        <f ca="1">IFERROR(__xludf.DUMMYFUNCTION("(((H10/GOOGLEFINANCE (""Currency:USDRON""))/D10)*C10)/100*GOOGLEFINANCE (""Currency:USDRON"")"),0.371287128712871)</f>
        <v>0.37128712871287101</v>
      </c>
      <c r="M10" s="287">
        <f t="shared" ca="1" si="2"/>
        <v>0.26968543343439721</v>
      </c>
      <c r="N10" s="288" t="e">
        <f>Divident_all!#REF!</f>
        <v>#REF!</v>
      </c>
      <c r="O10" s="288" t="e">
        <f>Divident_all!#REF!</f>
        <v>#REF!</v>
      </c>
      <c r="P10" s="289" t="e">
        <f>Divident_all!#REF!</f>
        <v>#REF!</v>
      </c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502"/>
      <c r="B11" s="280" t="e">
        <f>Divident_all!#REF!</f>
        <v>#REF!</v>
      </c>
      <c r="C11" s="280" t="e">
        <f>Divident_all!#REF!</f>
        <v>#REF!</v>
      </c>
      <c r="D11" s="281" t="e">
        <f>Divident_all!#REF!</f>
        <v>#REF!</v>
      </c>
      <c r="E11" s="282">
        <f ca="1">IFERROR(__xludf.DUMMYFUNCTION("(((H11/GOOGLEFINANCE (""Currency:USDRON""))/D11)+F11)"),1.03788347603454)</f>
        <v>1.0378834760345399</v>
      </c>
      <c r="F11" s="280" t="e">
        <f>Divident_all!#REF!</f>
        <v>#REF!</v>
      </c>
      <c r="G11" s="281">
        <f ca="1">IFERROR(__xludf.DUMMYFUNCTION("H11/GOOGLEFINANCE (""Currency:USDRON"")"),6.70810786637449)</f>
        <v>6.7081078663744904</v>
      </c>
      <c r="H11" s="283">
        <v>30</v>
      </c>
      <c r="I11" s="284" t="e">
        <f>D11/(C11*3)</f>
        <v>#REF!</v>
      </c>
      <c r="J11" s="281" t="e">
        <f t="shared" ca="1" si="3"/>
        <v>#REF!</v>
      </c>
      <c r="K11" s="330">
        <f ca="1">IFERROR(__xludf.DUMMYFUNCTION("(F11*C11)/100*GOOGLEFINANCE (""Currency:USDRON"")"),1.062088712931)</f>
        <v>1.0620887129309999</v>
      </c>
      <c r="L11" s="286">
        <f ca="1">IFERROR(__xludf.DUMMYFUNCTION("(((H11/GOOGLEFINANCE (""Currency:USDRON""))/D11)*C11)/100*GOOGLEFINANCE (""Currency:USDRON"")"),0.121525019857029)</f>
        <v>0.121525019857029</v>
      </c>
      <c r="M11" s="287">
        <f t="shared" ca="1" si="2"/>
        <v>0.11442078084198984</v>
      </c>
      <c r="N11" s="288" t="e">
        <f>Divident_all!#REF!</f>
        <v>#REF!</v>
      </c>
      <c r="O11" s="288" t="e">
        <f>Divident_all!#REF!</f>
        <v>#REF!</v>
      </c>
      <c r="P11" s="289" t="e">
        <f>Divident_all!#REF!</f>
        <v>#REF!</v>
      </c>
      <c r="Q11" s="240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502"/>
      <c r="B12" s="391" t="e">
        <f>Divident_all!#REF!</f>
        <v>#REF!</v>
      </c>
      <c r="C12" s="391" t="e">
        <f>Divident_all!#REF!</f>
        <v>#REF!</v>
      </c>
      <c r="D12" s="392" t="e">
        <f>Divident_all!#REF!</f>
        <v>#REF!</v>
      </c>
      <c r="E12" s="393">
        <f ca="1">IFERROR(__xludf.DUMMYFUNCTION("(((H12/GOOGLEFINANCE (""Currency:USDRON""))/D12)+F12)"),0.286451330973008)</f>
        <v>0.28645133097300801</v>
      </c>
      <c r="F12" s="391" t="e">
        <f>Divident_all!#REF!</f>
        <v>#REF!</v>
      </c>
      <c r="G12" s="392">
        <f ca="1">IFERROR(__xludf.DUMMYFUNCTION("H12/GOOGLEFINANCE (""Currency:USDRON"")"),6.70810786637449)</f>
        <v>6.7081078663744904</v>
      </c>
      <c r="H12" s="100">
        <v>30</v>
      </c>
      <c r="I12" s="394" t="e">
        <f t="shared" ref="I12:I26" si="5">D12/C12</f>
        <v>#REF!</v>
      </c>
      <c r="J12" s="392" t="e">
        <f t="shared" ca="1" si="3"/>
        <v>#REF!</v>
      </c>
      <c r="K12" s="395">
        <f ca="1">IFERROR(__xludf.DUMMYFUNCTION("(F12*C12)/100*GOOGLEFINANCE (""Currency:USDRON"")"),0.6440125086025)</f>
        <v>0.64401250860250003</v>
      </c>
      <c r="L12" s="396">
        <f ca="1">IFERROR(__xludf.DUMMYFUNCTION("(((H12/GOOGLEFINANCE (""Currency:USDRON""))/D12)*C12)/100*GOOGLEFINANCE (""Currency:USDRON"")"),0.300774877650897)</f>
        <v>0.300774877650897</v>
      </c>
      <c r="M12" s="501">
        <f t="shared" ca="1" si="2"/>
        <v>0.46703266416917139</v>
      </c>
      <c r="N12" s="398" t="e">
        <f>Divident_all!#REF!</f>
        <v>#REF!</v>
      </c>
      <c r="O12" s="398" t="e">
        <f>Divident_all!#REF!</f>
        <v>#REF!</v>
      </c>
      <c r="P12" s="399" t="e">
        <f>Divident_all!#REF!</f>
        <v>#REF!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502"/>
      <c r="B13" s="391" t="e">
        <f>Divident_all!#REF!</f>
        <v>#REF!</v>
      </c>
      <c r="C13" s="391" t="e">
        <f>Divident_all!#REF!</f>
        <v>#REF!</v>
      </c>
      <c r="D13" s="392" t="e">
        <f>Divident_all!#REF!</f>
        <v>#REF!</v>
      </c>
      <c r="E13" s="393">
        <f ca="1">IFERROR(__xludf.DUMMYFUNCTION("(((H13/GOOGLEFINANCE (""Currency:USDRON""))/D13)+F13)"),0.687295024790106)</f>
        <v>0.68729502479010596</v>
      </c>
      <c r="F13" s="391" t="e">
        <f>Divident_all!#REF!</f>
        <v>#REF!</v>
      </c>
      <c r="G13" s="392">
        <f ca="1">IFERROR(__xludf.DUMMYFUNCTION("H13/GOOGLEFINANCE (""Currency:USDRON"")"),6.70810786637449)</f>
        <v>6.7081078663744904</v>
      </c>
      <c r="H13" s="100">
        <v>30</v>
      </c>
      <c r="I13" s="394" t="e">
        <f t="shared" si="5"/>
        <v>#REF!</v>
      </c>
      <c r="J13" s="392" t="e">
        <f t="shared" ca="1" si="3"/>
        <v>#REF!</v>
      </c>
      <c r="K13" s="395">
        <f ca="1">IFERROR(__xludf.DUMMYFUNCTION("(F13*C13)/100*GOOGLEFINANCE (""Currency:USDRON"")"),1.181509109257)</f>
        <v>1.181509109257</v>
      </c>
      <c r="L13" s="396">
        <f ca="1">IFERROR(__xludf.DUMMYFUNCTION("(((H13/GOOGLEFINANCE (""Currency:USDRON""))/D13)*C13)/100*GOOGLEFINANCE (""Currency:USDRON"")"),0.309245483528161)</f>
        <v>0.309245483528161</v>
      </c>
      <c r="M13" s="501">
        <f t="shared" ca="1" si="2"/>
        <v>0.26173770570641824</v>
      </c>
      <c r="N13" s="398" t="e">
        <f>Divident_all!#REF!</f>
        <v>#REF!</v>
      </c>
      <c r="O13" s="398" t="e">
        <f>Divident_all!#REF!</f>
        <v>#REF!</v>
      </c>
      <c r="P13" s="399" t="e">
        <f>Divident_all!#REF!</f>
        <v>#REF!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502"/>
      <c r="B14" s="491" t="e">
        <f>Divident_all!#REF!</f>
        <v>#REF!</v>
      </c>
      <c r="C14" s="491" t="e">
        <f>Divident_all!#REF!</f>
        <v>#REF!</v>
      </c>
      <c r="D14" s="492" t="e">
        <f>Divident_all!#REF!</f>
        <v>#REF!</v>
      </c>
      <c r="E14" s="493">
        <f ca="1">IFERROR(__xludf.DUMMYFUNCTION("(((H14/GOOGLEFINANCE (""Currency:USDRON""))/D14)+F14)"),0.160260322918634)</f>
        <v>0.16026032291863401</v>
      </c>
      <c r="F14" s="491" t="e">
        <f>Divident_all!#REF!</f>
        <v>#REF!</v>
      </c>
      <c r="G14" s="492">
        <f ca="1">IFERROR(__xludf.DUMMYFUNCTION("H14/GOOGLEFINANCE (""Currency:USDRON"")"),5.59008988864541)</f>
        <v>5.5900898886454096</v>
      </c>
      <c r="H14" s="411">
        <v>25</v>
      </c>
      <c r="I14" s="494" t="e">
        <f t="shared" si="5"/>
        <v>#REF!</v>
      </c>
      <c r="J14" s="492" t="e">
        <f t="shared" ca="1" si="3"/>
        <v>#REF!</v>
      </c>
      <c r="K14" s="495">
        <f ca="1">IFERROR(__xludf.DUMMYFUNCTION("(F14*C14)/100*GOOGLEFINANCE (""Currency:USDRON"")"),0.8107906653176)</f>
        <v>0.81079066531760002</v>
      </c>
      <c r="L14" s="496">
        <f ca="1">IFERROR(__xludf.DUMMYFUNCTION("(((H14/GOOGLEFINANCE (""Currency:USDRON""))/D14)*C14)/100*GOOGLEFINANCE (""Currency:USDRON"")"),0.249949334594339)</f>
        <v>0.24994933459433899</v>
      </c>
      <c r="M14" s="415">
        <f t="shared" ca="1" si="2"/>
        <v>0.30827850552081743</v>
      </c>
      <c r="N14" s="497" t="e">
        <f>Divident_all!#REF!</f>
        <v>#REF!</v>
      </c>
      <c r="O14" s="497" t="e">
        <f>Divident_all!#REF!</f>
        <v>#REF!</v>
      </c>
      <c r="P14" s="498" t="e">
        <f>Divident_all!#REF!</f>
        <v>#REF!</v>
      </c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</row>
    <row r="15" spans="1:33" ht="12.75">
      <c r="A15" s="502"/>
      <c r="B15" s="301" t="e">
        <f>Divident_all!#REF!</f>
        <v>#REF!</v>
      </c>
      <c r="C15" s="301" t="e">
        <f>Divident_all!#REF!</f>
        <v>#REF!</v>
      </c>
      <c r="D15" s="302" t="e">
        <f>Divident_all!#REF!</f>
        <v>#REF!</v>
      </c>
      <c r="E15" s="303">
        <f ca="1">IFERROR(__xludf.DUMMYFUNCTION("(((H15/GOOGLEFINANCE (""Currency:USDRON""))/D15)+F15)"),0.519458770720396)</f>
        <v>0.51945877072039603</v>
      </c>
      <c r="F15" s="301" t="e">
        <f>Divident_all!#REF!</f>
        <v>#REF!</v>
      </c>
      <c r="G15" s="302">
        <f ca="1">IFERROR(__xludf.DUMMYFUNCTION("H15/GOOGLEFINANCE (""Currency:USDRON"")"),5.59008988864541)</f>
        <v>5.5900898886454096</v>
      </c>
      <c r="H15" s="304">
        <v>25</v>
      </c>
      <c r="I15" s="305" t="e">
        <f t="shared" si="5"/>
        <v>#REF!</v>
      </c>
      <c r="J15" s="302" t="e">
        <f t="shared" ca="1" si="3"/>
        <v>#REF!</v>
      </c>
      <c r="K15" s="306">
        <f ca="1">IFERROR(__xludf.DUMMYFUNCTION("(F15*C15)/100*GOOGLEFINANCE (""Currency:USDRON"")"),0.548492208726)</f>
        <v>0.54849220872600002</v>
      </c>
      <c r="L15" s="307">
        <f ca="1">IFERROR(__xludf.DUMMYFUNCTION("(((H15/GOOGLEFINANCE (""Currency:USDRON""))/D15)*C15)/100*GOOGLEFINANCE (""Currency:USDRON"")"),0.2181385510312)</f>
        <v>0.2181385510312</v>
      </c>
      <c r="M15" s="308">
        <f t="shared" ca="1" si="2"/>
        <v>0.39770583348463096</v>
      </c>
      <c r="N15" s="309" t="e">
        <f>Divident_all!#REF!</f>
        <v>#REF!</v>
      </c>
      <c r="O15" s="309" t="e">
        <f>Divident_all!#REF!</f>
        <v>#REF!</v>
      </c>
      <c r="P15" s="310" t="e">
        <f>Divident_all!#REF!</f>
        <v>#REF!</v>
      </c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502"/>
      <c r="B16" s="291" t="e">
        <f>Divident_all!#REF!</f>
        <v>#REF!</v>
      </c>
      <c r="C16" s="291" t="e">
        <f>Divident_all!#REF!</f>
        <v>#REF!</v>
      </c>
      <c r="D16" s="292" t="e">
        <f>Divident_all!#REF!</f>
        <v>#REF!</v>
      </c>
      <c r="E16" s="293">
        <f ca="1">IFERROR(__xludf.DUMMYFUNCTION("(((H16/GOOGLEFINANCE (""Currency:USDRON""))/D16)+F16)"),0.0290562316668324)</f>
        <v>2.90562316668324E-2</v>
      </c>
      <c r="F16" s="291" t="e">
        <f>Divident_all!#REF!</f>
        <v>#REF!</v>
      </c>
      <c r="G16" s="292">
        <f ca="1">IFERROR(__xludf.DUMMYFUNCTION("H16/GOOGLEFINANCE (""Currency:USDRON"")"),5.59008988864541)</f>
        <v>5.5900898886454096</v>
      </c>
      <c r="H16" s="294">
        <v>25</v>
      </c>
      <c r="I16" s="295" t="e">
        <f t="shared" si="5"/>
        <v>#REF!</v>
      </c>
      <c r="J16" s="292" t="e">
        <f t="shared" ca="1" si="3"/>
        <v>#REF!</v>
      </c>
      <c r="K16" s="296">
        <f ca="1">IFERROR(__xludf.DUMMYFUNCTION("(F16*C16)/100*GOOGLEFINANCE (""Currency:USDRON"")"),0.71005029956)</f>
        <v>0.71005029955999999</v>
      </c>
      <c r="L16" s="297">
        <f ca="1">IFERROR(__xludf.DUMMYFUNCTION("(((H16/GOOGLEFINANCE (""Currency:USDRON""))/D16)*C16)/100*GOOGLEFINANCE (""Currency:USDRON"")"),0.199566655262857)</f>
        <v>0.199566655262857</v>
      </c>
      <c r="M16" s="298">
        <f t="shared" ca="1" si="2"/>
        <v>0.28105988461172871</v>
      </c>
      <c r="N16" s="299" t="e">
        <f>Divident_all!#REF!</f>
        <v>#REF!</v>
      </c>
      <c r="O16" s="299" t="e">
        <f>Divident_all!#REF!</f>
        <v>#REF!</v>
      </c>
      <c r="P16" s="300" t="e">
        <f>Divident_all!#REF!</f>
        <v>#REF!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502"/>
      <c r="B17" s="339" t="e">
        <f>Divident_all!#REF!</f>
        <v>#REF!</v>
      </c>
      <c r="C17" s="339" t="e">
        <f>Divident_all!#REF!</f>
        <v>#REF!</v>
      </c>
      <c r="D17" s="340" t="e">
        <f>Divident_all!#REF!</f>
        <v>#REF!</v>
      </c>
      <c r="E17" s="341">
        <f ca="1">IFERROR(__xludf.DUMMYFUNCTION("(((H17/GOOGLEFINANCE (""Currency:USDRON""))/D17)+F17)"),0.179341560513715)</f>
        <v>0.179341560513715</v>
      </c>
      <c r="F17" s="339" t="e">
        <f>Divident_all!#REF!</f>
        <v>#REF!</v>
      </c>
      <c r="G17" s="340">
        <f ca="1">IFERROR(__xludf.DUMMYFUNCTION("H17/GOOGLEFINANCE (""Currency:USDRON"")"),5.59008988864541)</f>
        <v>5.5900898886454096</v>
      </c>
      <c r="H17" s="342">
        <v>25</v>
      </c>
      <c r="I17" s="343" t="e">
        <f t="shared" si="5"/>
        <v>#REF!</v>
      </c>
      <c r="J17" s="340" t="e">
        <f t="shared" ca="1" si="3"/>
        <v>#REF!</v>
      </c>
      <c r="K17" s="344">
        <f ca="1">IFERROR(__xludf.DUMMYFUNCTION("(F17*C17)/100*GOOGLEFINANCE (""Currency:USDRON"")"),0.619222600879999)</f>
        <v>0.61922260087999903</v>
      </c>
      <c r="L17" s="345">
        <f ca="1">IFERROR(__xludf.DUMMYFUNCTION("(((H17/GOOGLEFINANCE (""Currency:USDRON""))/D17)*C17)/100*GOOGLEFINANCE (""Currency:USDRON"")"),0.182828726049436)</f>
        <v>0.18282872604943601</v>
      </c>
      <c r="M17" s="346">
        <f t="shared" ca="1" si="2"/>
        <v>0.29525525358669347</v>
      </c>
      <c r="N17" s="347" t="e">
        <f>Divident_all!#REF!</f>
        <v>#REF!</v>
      </c>
      <c r="O17" s="347" t="e">
        <f>Divident_all!#REF!</f>
        <v>#REF!</v>
      </c>
      <c r="P17" s="348" t="e">
        <f>Divident_all!#REF!</f>
        <v>#REF!</v>
      </c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502"/>
      <c r="B18" s="280" t="e">
        <f>Divident_all!#REF!</f>
        <v>#REF!</v>
      </c>
      <c r="C18" s="280" t="e">
        <f>Divident_all!#REF!</f>
        <v>#REF!</v>
      </c>
      <c r="D18" s="281" t="e">
        <f>Divident_all!#REF!</f>
        <v>#REF!</v>
      </c>
      <c r="E18" s="282">
        <f ca="1">IFERROR(__xludf.DUMMYFUNCTION("(((H18/GOOGLEFINANCE (""Currency:USDRON""))/D18)+F18)"),0.0749251468292015)</f>
        <v>7.4925146829201497E-2</v>
      </c>
      <c r="F18" s="280" t="e">
        <f>Divident_all!#REF!</f>
        <v>#REF!</v>
      </c>
      <c r="G18" s="281">
        <f ca="1">IFERROR(__xludf.DUMMYFUNCTION("H18/GOOGLEFINANCE (""Currency:usdRON"")"),5.59008988864541)</f>
        <v>5.5900898886454096</v>
      </c>
      <c r="H18" s="283">
        <v>25</v>
      </c>
      <c r="I18" s="284" t="e">
        <f t="shared" si="5"/>
        <v>#REF!</v>
      </c>
      <c r="J18" s="281" t="e">
        <f t="shared" ca="1" si="3"/>
        <v>#REF!</v>
      </c>
      <c r="K18" s="330">
        <f ca="1">IFERROR(__xludf.DUMMYFUNCTION("(F18*C18)/100*GOOGLEFINANCE (""Currency:usdRON"")"),0.324504084215999)</f>
        <v>0.32450408421599902</v>
      </c>
      <c r="L18" s="286">
        <f ca="1">IFERROR(__xludf.DUMMYFUNCTION("(((H18/GOOGLEFINANCE (""Currency:usdRON""))/D18)*C18)/100*GOOGLEFINANCE (""Currency:usdRON"")"),0.198221092757306)</f>
        <v>0.19822109275730601</v>
      </c>
      <c r="M18" s="469">
        <f t="shared" ca="1" si="2"/>
        <v>0.6108431369552948</v>
      </c>
      <c r="N18" s="288" t="e">
        <f>Divident_all!#REF!</f>
        <v>#REF!</v>
      </c>
      <c r="O18" s="288" t="e">
        <f>Divident_all!#REF!</f>
        <v>#REF!</v>
      </c>
      <c r="P18" s="289" t="e">
        <f>Divident_all!#REF!</f>
        <v>#REF!</v>
      </c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502"/>
      <c r="B19" s="331" t="e">
        <f>Divident_all!#REF!</f>
        <v>#REF!</v>
      </c>
      <c r="C19" s="331" t="e">
        <f>Divident_all!#REF!</f>
        <v>#REF!</v>
      </c>
      <c r="D19" s="332" t="e">
        <f>Divident_all!#REF!</f>
        <v>#REF!</v>
      </c>
      <c r="E19" s="333">
        <f ca="1">IFERROR(__xludf.DUMMYFUNCTION("(((H19/GOOGLEFINANCE (""Currency:USDRON""))/D19)+F19)"),0.267487647982582)</f>
        <v>0.26748764798258201</v>
      </c>
      <c r="F19" s="331" t="e">
        <f>Divident_all!#REF!</f>
        <v>#REF!</v>
      </c>
      <c r="G19" s="332">
        <f ca="1">IFERROR(__xludf.DUMMYFUNCTION("H19/GOOGLEFINANCE (""Currency:USDRON"")"),4.47207191091632)</f>
        <v>4.4720719109163198</v>
      </c>
      <c r="H19" s="304">
        <v>20</v>
      </c>
      <c r="I19" s="334" t="e">
        <f t="shared" si="5"/>
        <v>#REF!</v>
      </c>
      <c r="J19" s="332" t="e">
        <f t="shared" ca="1" si="3"/>
        <v>#REF!</v>
      </c>
      <c r="K19" s="335">
        <f ca="1">IFERROR(__xludf.DUMMYFUNCTION("(F19*C19)/100*GOOGLEFINANCE (""Currency:USDRON"")"),0.455082485376)</f>
        <v>0.45508248537599999</v>
      </c>
      <c r="L19" s="336">
        <f ca="1">IFERROR(__xludf.DUMMYFUNCTION("(((H19/GOOGLEFINANCE (""Currency:USDRON""))/D19)*C19)/100*GOOGLEFINANCE (""Currency:USDRON"")"),0.119121479091698)</f>
        <v>0.119121479091698</v>
      </c>
      <c r="M19" s="308">
        <f t="shared" ca="1" si="2"/>
        <v>0.26175799535171518</v>
      </c>
      <c r="N19" s="337" t="e">
        <f>Divident_all!#REF!</f>
        <v>#REF!</v>
      </c>
      <c r="O19" s="337" t="e">
        <f>Divident_all!#REF!</f>
        <v>#REF!</v>
      </c>
      <c r="P19" s="338" t="e">
        <f>Divident_all!#REF!</f>
        <v>#REF!</v>
      </c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502"/>
      <c r="B20" s="301" t="e">
        <f>Divident_all!#REF!</f>
        <v>#REF!</v>
      </c>
      <c r="C20" s="301" t="e">
        <f>Divident_all!#REF!</f>
        <v>#REF!</v>
      </c>
      <c r="D20" s="302" t="e">
        <f>Divident_all!#REF!</f>
        <v>#REF!</v>
      </c>
      <c r="E20" s="303">
        <f ca="1">IFERROR(__xludf.DUMMYFUNCTION("(((H20/GOOGLEFINANCE (""Currency:USDRON""))/D20)+F20)"),0.17262085802939)</f>
        <v>0.17262085802939001</v>
      </c>
      <c r="F20" s="301" t="e">
        <f>Divident_all!#REF!</f>
        <v>#REF!</v>
      </c>
      <c r="G20" s="302">
        <f ca="1">IFERROR(__xludf.DUMMYFUNCTION("H20/GOOGLEFINANCE (""Currency:USDRON"")"),4.47207191091632)</f>
        <v>4.4720719109163198</v>
      </c>
      <c r="H20" s="304">
        <v>20</v>
      </c>
      <c r="I20" s="305" t="e">
        <f t="shared" si="5"/>
        <v>#REF!</v>
      </c>
      <c r="J20" s="302" t="e">
        <f t="shared" ca="1" si="3"/>
        <v>#REF!</v>
      </c>
      <c r="K20" s="306">
        <f ca="1">IFERROR(__xludf.DUMMYFUNCTION("(F20*C20)/100*GOOGLEFINANCE (""Currency:USDRON"")"),0.2557382848)</f>
        <v>0.25573828479999999</v>
      </c>
      <c r="L20" s="307">
        <f ca="1">IFERROR(__xludf.DUMMYFUNCTION("(((H20/GOOGLEFINANCE (""Currency:USDRON""))/D20)*C20)/100*GOOGLEFINANCE (""Currency:USDRON"")"),0.13025921583952)</f>
        <v>0.13025921583951999</v>
      </c>
      <c r="M20" s="308">
        <f t="shared" ca="1" si="2"/>
        <v>0.50934577879643306</v>
      </c>
      <c r="N20" s="309" t="e">
        <f>Divident_all!#REF!</f>
        <v>#REF!</v>
      </c>
      <c r="O20" s="309" t="e">
        <f>Divident_all!#REF!</f>
        <v>#REF!</v>
      </c>
      <c r="P20" s="310" t="e">
        <f>Divident_all!#REF!</f>
        <v>#REF!</v>
      </c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502"/>
      <c r="B21" s="301" t="e">
        <f>Divident_all!#REF!</f>
        <v>#REF!</v>
      </c>
      <c r="C21" s="301" t="e">
        <f>Divident_all!#REF!</f>
        <v>#REF!</v>
      </c>
      <c r="D21" s="302" t="e">
        <f>Divident_all!#REF!</f>
        <v>#REF!</v>
      </c>
      <c r="E21" s="303">
        <f ca="1">IFERROR(__xludf.DUMMYFUNCTION("(((H21/GOOGLEFINANCE (""Currency:USDRON""))/D21)+F21)"),0.141799311838667)</f>
        <v>0.14179931183866701</v>
      </c>
      <c r="F21" s="301" t="e">
        <f>Divident_all!#REF!</f>
        <v>#REF!</v>
      </c>
      <c r="G21" s="302">
        <f ca="1">IFERROR(__xludf.DUMMYFUNCTION("H21/GOOGLEFINANCE (""Currency:USDRON"")"),3.35405393318724)</f>
        <v>3.3540539331872399</v>
      </c>
      <c r="H21" s="304">
        <v>15</v>
      </c>
      <c r="I21" s="305" t="e">
        <f t="shared" si="5"/>
        <v>#REF!</v>
      </c>
      <c r="J21" s="302" t="e">
        <f t="shared" ca="1" si="3"/>
        <v>#REF!</v>
      </c>
      <c r="K21" s="306">
        <f ca="1">IFERROR(__xludf.DUMMYFUNCTION("(F21*C21)/100*GOOGLEFINANCE (""Currency:USDRON"")"),0.506114966057474)</f>
        <v>0.50611496605747397</v>
      </c>
      <c r="L21" s="307">
        <f ca="1">IFERROR(__xludf.DUMMYFUNCTION("(((H21/GOOGLEFINANCE (""Currency:USDRON""))/D21)*C21)/100*GOOGLEFINANCE (""Currency:USDRON"")"),0.0904345318208036)</f>
        <v>9.0434531820803604E-2</v>
      </c>
      <c r="M21" s="308">
        <f t="shared" ca="1" si="2"/>
        <v>0.17868377322502244</v>
      </c>
      <c r="N21" s="309" t="e">
        <f>Divident_all!#REF!</f>
        <v>#REF!</v>
      </c>
      <c r="O21" s="309" t="e">
        <f>Divident_all!#REF!</f>
        <v>#REF!</v>
      </c>
      <c r="P21" s="310" t="e">
        <f>Divident_all!#REF!</f>
        <v>#REF!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502"/>
      <c r="B22" s="522" t="e">
        <f>Divident_all!#REF!</f>
        <v>#REF!</v>
      </c>
      <c r="C22" s="522" t="e">
        <f>Divident_all!#REF!</f>
        <v>#REF!</v>
      </c>
      <c r="D22" s="523" t="e">
        <f>Divident_all!#REF!</f>
        <v>#REF!</v>
      </c>
      <c r="E22" s="524">
        <f ca="1">IFERROR(__xludf.DUMMYFUNCTION("(((H22/GOOGLEFINANCE (""Currency:USDRON""))/D22)+F22)"),0.0985560296029229)</f>
        <v>9.8556029602922895E-2</v>
      </c>
      <c r="F22" s="522" t="e">
        <f>Divident_all!#REF!</f>
        <v>#REF!</v>
      </c>
      <c r="G22" s="523">
        <f ca="1">IFERROR(__xludf.DUMMYFUNCTION("H22/GOOGLEFINANCE (""Currency:USDRON"")"),3.35405393318724)</f>
        <v>3.3540539331872399</v>
      </c>
      <c r="H22" s="525">
        <v>15</v>
      </c>
      <c r="I22" s="526" t="e">
        <f t="shared" si="5"/>
        <v>#REF!</v>
      </c>
      <c r="J22" s="523" t="e">
        <f t="shared" ca="1" si="3"/>
        <v>#REF!</v>
      </c>
      <c r="K22" s="527">
        <f ca="1">IFERROR(__xludf.DUMMYFUNCTION("(F22*C22)/100*GOOGLEFINANCE (""Currency:USDRON"")"),0.682860777024999)</f>
        <v>0.68286077702499903</v>
      </c>
      <c r="L22" s="528">
        <f ca="1">IFERROR(__xludf.DUMMYFUNCTION("(((H22/GOOGLEFINANCE (""Currency:USDRON""))/D22)*C22)/100*GOOGLEFINANCE (""Currency:USDRON"")"),0.0884732052578362)</f>
        <v>8.8473205257836196E-2</v>
      </c>
      <c r="M22" s="529">
        <f t="shared" ca="1" si="2"/>
        <v>0.12956258176561994</v>
      </c>
      <c r="N22" s="530" t="e">
        <f>Divident_all!#REF!</f>
        <v>#REF!</v>
      </c>
      <c r="O22" s="530" t="e">
        <f>Divident_all!#REF!</f>
        <v>#REF!</v>
      </c>
      <c r="P22" s="531" t="e">
        <f>Divident_all!#REF!</f>
        <v>#REF!</v>
      </c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502"/>
      <c r="B23" s="418" t="e">
        <f>Divident_all!#REF!</f>
        <v>#REF!</v>
      </c>
      <c r="C23" s="418" t="e">
        <f>Divident_all!#REF!</f>
        <v>#REF!</v>
      </c>
      <c r="D23" s="419" t="e">
        <f>Divident_all!#REF!</f>
        <v>#REF!</v>
      </c>
      <c r="E23" s="420">
        <f ca="1">IFERROR(__xludf.DUMMYFUNCTION("(((H23/GOOGLEFINANCE (""Currency:USDRON""))/D23)+F23)"),0.0799287815646812)</f>
        <v>7.9928781564681195E-2</v>
      </c>
      <c r="F23" s="418" t="e">
        <f>Divident_all!#REF!</f>
        <v>#REF!</v>
      </c>
      <c r="G23" s="419">
        <f ca="1">IFERROR(__xludf.DUMMYFUNCTION("H23/GOOGLEFINANCE (""Currency:USDRON"")"),3.35405393318724)</f>
        <v>3.3540539331872399</v>
      </c>
      <c r="H23" s="421">
        <v>15</v>
      </c>
      <c r="I23" s="422" t="e">
        <f t="shared" si="5"/>
        <v>#REF!</v>
      </c>
      <c r="J23" s="419" t="e">
        <f t="shared" ca="1" si="3"/>
        <v>#REF!</v>
      </c>
      <c r="K23" s="423">
        <f ca="1">IFERROR(__xludf.DUMMYFUNCTION("(F23*C23)/100*GOOGLEFINANCE (""Currency:USDRON"")"),0.3784124123472)</f>
        <v>0.37841241234720002</v>
      </c>
      <c r="L23" s="424">
        <f ca="1">IFERROR(__xludf.DUMMYFUNCTION("(((H23/GOOGLEFINANCE (""Currency:USDRON""))/D23)*C23)/100*GOOGLEFINANCE (""Currency:USDRON"")"),0.0934314835787089)</f>
        <v>9.3431483578708896E-2</v>
      </c>
      <c r="M23" s="500">
        <f t="shared" ca="1" si="2"/>
        <v>0.24690385550298458</v>
      </c>
      <c r="N23" s="426" t="e">
        <f>Divident_all!#REF!</f>
        <v>#REF!</v>
      </c>
      <c r="O23" s="426" t="e">
        <f>Divident_all!#REF!</f>
        <v>#REF!</v>
      </c>
      <c r="P23" s="427" t="e">
        <f>Divident_all!#REF!</f>
        <v>#REF!</v>
      </c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</row>
    <row r="24" spans="1:33" ht="12.75">
      <c r="A24" s="502"/>
      <c r="B24" s="418" t="e">
        <f>Divident_all!#REF!</f>
        <v>#REF!</v>
      </c>
      <c r="C24" s="418" t="e">
        <f>Divident_all!#REF!</f>
        <v>#REF!</v>
      </c>
      <c r="D24" s="419" t="e">
        <f>Divident_all!#REF!</f>
        <v>#REF!</v>
      </c>
      <c r="E24" s="420">
        <f ca="1">IFERROR(__xludf.DUMMYFUNCTION("(((H24/GOOGLEFINANCE (""Currency:USDRON""))/D24)+F24)"),0.0742428232469535)</f>
        <v>7.4242823246953499E-2</v>
      </c>
      <c r="F24" s="418" t="e">
        <f>Divident_all!#REF!</f>
        <v>#REF!</v>
      </c>
      <c r="G24" s="419">
        <f ca="1">IFERROR(__xludf.DUMMYFUNCTION("H24/GOOGLEFINANCE (""Currency:USDRON"")"),3.35405393318724)</f>
        <v>3.3540539331872399</v>
      </c>
      <c r="H24" s="421">
        <v>15</v>
      </c>
      <c r="I24" s="422" t="e">
        <f t="shared" si="5"/>
        <v>#REF!</v>
      </c>
      <c r="J24" s="419" t="e">
        <f t="shared" ca="1" si="3"/>
        <v>#REF!</v>
      </c>
      <c r="K24" s="423">
        <f ca="1">IFERROR(__xludf.DUMMYFUNCTION("(F24*C24)/100*GOOGLEFINANCE (""Currency:USDRON"")"),0.314748606024)</f>
        <v>0.31474860602400001</v>
      </c>
      <c r="L24" s="424">
        <f ca="1">IFERROR(__xludf.DUMMYFUNCTION("(((H24/GOOGLEFINANCE (""Currency:USDRON""))/D24)*C24)/100*GOOGLEFINANCE (""Currency:USDRON"")"),0.0836858989260309)</f>
        <v>8.3685898926030899E-2</v>
      </c>
      <c r="M24" s="500">
        <f t="shared" ca="1" si="2"/>
        <v>0.26588171424546275</v>
      </c>
      <c r="N24" s="426" t="e">
        <f>Divident_all!#REF!</f>
        <v>#REF!</v>
      </c>
      <c r="O24" s="426" t="e">
        <f>Divident_all!#REF!</f>
        <v>#REF!</v>
      </c>
      <c r="P24" s="427" t="e">
        <f>Divident_all!#REF!</f>
        <v>#REF!</v>
      </c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</row>
    <row r="25" spans="1:33" ht="12.75">
      <c r="A25" s="502"/>
      <c r="B25" s="349" t="e">
        <f>Divident_all!#REF!</f>
        <v>#REF!</v>
      </c>
      <c r="C25" s="349" t="e">
        <f>Divident_all!#REF!</f>
        <v>#REF!</v>
      </c>
      <c r="D25" s="350" t="e">
        <f>Divident_all!#REF!</f>
        <v>#REF!</v>
      </c>
      <c r="E25" s="351">
        <f ca="1">IFERROR(__xludf.DUMMYFUNCTION("(((H25/GOOGLEFINANCE (""Currency:USDRON""))/D25)+F25)"),0.177110494865221)</f>
        <v>0.17711049486522101</v>
      </c>
      <c r="F25" s="349" t="e">
        <f>Divident_all!#REF!</f>
        <v>#REF!</v>
      </c>
      <c r="G25" s="350">
        <f ca="1">IFERROR(__xludf.DUMMYFUNCTION("H25/GOOGLEFINANCE (""Currency:USDRON"")"),3.35405393318724)</f>
        <v>3.3540539331872399</v>
      </c>
      <c r="H25" s="352">
        <v>15</v>
      </c>
      <c r="I25" s="353" t="e">
        <f t="shared" si="5"/>
        <v>#REF!</v>
      </c>
      <c r="J25" s="350" t="e">
        <f t="shared" ca="1" si="3"/>
        <v>#REF!</v>
      </c>
      <c r="K25" s="344">
        <f ca="1">IFERROR(__xludf.DUMMYFUNCTION("(F25*C25)/100*GOOGLEFINANCE (""Currency:USDRON"")"),0.417428301061799)</f>
        <v>0.41742830106179901</v>
      </c>
      <c r="L25" s="354">
        <f ca="1">IFERROR(__xludf.DUMMYFUNCTION("(((H25/GOOGLEFINANCE (""Currency:USDRON""))/D25)*C25)/100*GOOGLEFINANCE (""Currency:USDRON"")"),0.0815780386740331)</f>
        <v>8.1578038674033099E-2</v>
      </c>
      <c r="M25" s="346">
        <f t="shared" ca="1" si="2"/>
        <v>0.1954300618010941</v>
      </c>
      <c r="N25" s="355" t="e">
        <f>Divident_all!#REF!</f>
        <v>#REF!</v>
      </c>
      <c r="O25" s="355" t="e">
        <f>Divident_all!#REF!</f>
        <v>#REF!</v>
      </c>
      <c r="P25" s="356" t="e">
        <f>Divident_all!#REF!</f>
        <v>#REF!</v>
      </c>
      <c r="Q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</row>
    <row r="26" spans="1:33" ht="12.75">
      <c r="A26" s="502"/>
      <c r="B26" s="418" t="e">
        <f>Divident_all!#REF!</f>
        <v>#REF!</v>
      </c>
      <c r="C26" s="418" t="e">
        <f>Divident_all!#REF!</f>
        <v>#REF!</v>
      </c>
      <c r="D26" s="419" t="e">
        <f>Divident_all!#REF!</f>
        <v>#REF!</v>
      </c>
      <c r="E26" s="420">
        <f ca="1">IFERROR(__xludf.DUMMYFUNCTION("(((H26/GOOGLEFINANCE (""Currency:USDRON""))/D26)+F26)"),0.0360891747578214)</f>
        <v>3.6089174757821398E-2</v>
      </c>
      <c r="F26" s="418" t="e">
        <f>Divident_all!#REF!</f>
        <v>#REF!</v>
      </c>
      <c r="G26" s="419">
        <f ca="1">IFERROR(__xludf.DUMMYFUNCTION("H26/GOOGLEFINANCE (""Currency:USDRON"")"),2.23603595545816)</f>
        <v>2.2360359554581599</v>
      </c>
      <c r="H26" s="421">
        <v>10</v>
      </c>
      <c r="I26" s="422" t="e">
        <f t="shared" si="5"/>
        <v>#REF!</v>
      </c>
      <c r="J26" s="419" t="e">
        <f t="shared" ca="1" si="3"/>
        <v>#REF!</v>
      </c>
      <c r="K26" s="483">
        <f ca="1">IFERROR(__xludf.DUMMYFUNCTION("(F26*C26)/100*GOOGLEFINANCE (""Currency:USDRON"")"),0.168946858425)</f>
        <v>0.16894685842500001</v>
      </c>
      <c r="L26" s="424">
        <f ca="1">IFERROR(__xludf.DUMMYFUNCTION("(((H26/GOOGLEFINANCE (""Currency:USDRON""))/D26)*C26)/100*GOOGLEFINANCE (""Currency:USDRON"")"),0.0328006507649111)</f>
        <v>3.28006507649111E-2</v>
      </c>
      <c r="M26" s="425">
        <f t="shared" ca="1" si="2"/>
        <v>0.19414774012783539</v>
      </c>
      <c r="N26" s="426" t="e">
        <f>Divident_all!#REF!</f>
        <v>#REF!</v>
      </c>
      <c r="O26" s="426" t="e">
        <f>Divident_all!#REF!</f>
        <v>#REF!</v>
      </c>
      <c r="P26" s="427" t="e">
        <f>Divident_all!#REF!</f>
        <v>#REF!</v>
      </c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</row>
    <row r="27" spans="1:33" ht="12.75">
      <c r="A27" s="172"/>
      <c r="B27" s="376"/>
      <c r="C27" s="376"/>
      <c r="D27" s="377"/>
      <c r="E27" s="378"/>
      <c r="F27" s="376"/>
      <c r="G27" s="377"/>
      <c r="H27" s="376"/>
      <c r="I27" s="379"/>
      <c r="J27" s="377"/>
      <c r="K27" s="380"/>
      <c r="L27" s="380"/>
      <c r="M27" s="380"/>
      <c r="N27" s="381"/>
      <c r="O27" s="381"/>
      <c r="P27" s="38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G24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0</v>
      </c>
      <c r="L2" s="276">
        <f ca="1">((L4*4)*100)/(500+K2)</f>
        <v>4.7808094913965338</v>
      </c>
      <c r="M2" s="13">
        <v>20</v>
      </c>
      <c r="N2" s="13"/>
      <c r="O2" s="13"/>
      <c r="P2" s="13"/>
    </row>
    <row r="3" spans="1:33" ht="15.75" customHeight="1">
      <c r="A3" s="277" t="s">
        <v>34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AVERAGE(C5:C24)</f>
        <v>#REF!</v>
      </c>
      <c r="D4" s="124" t="e">
        <f t="shared" si="0"/>
        <v>#REF!</v>
      </c>
      <c r="E4" s="278">
        <f t="shared" ca="1" si="0"/>
        <v>0.60042321417079869</v>
      </c>
      <c r="F4" s="122"/>
      <c r="G4" s="253">
        <f ca="1">SUM(G5:G24)</f>
        <v>116.27386968382449</v>
      </c>
      <c r="H4" s="122">
        <f>500+K2+M2-SUM(H5:H24)</f>
        <v>0</v>
      </c>
      <c r="I4" s="124"/>
      <c r="J4" s="124" t="e">
        <f t="shared" ref="J4:L4" ca="1" si="1">SUM(J5:J24)</f>
        <v>#REF!</v>
      </c>
      <c r="K4" s="129">
        <f t="shared" ca="1" si="1"/>
        <v>20.747341786616037</v>
      </c>
      <c r="L4" s="129">
        <f t="shared" ca="1" si="1"/>
        <v>5.9760118642456677</v>
      </c>
      <c r="M4" s="123">
        <f t="shared" ref="M4:M24" ca="1" si="2">L4/K4</f>
        <v>0.28803747129190066</v>
      </c>
      <c r="N4" s="131"/>
      <c r="O4" s="131"/>
      <c r="P4" s="132"/>
    </row>
    <row r="5" spans="1:33" ht="12.75">
      <c r="A5" s="532"/>
      <c r="B5" s="280" t="e">
        <f>Divident_all!#REF!</f>
        <v>#REF!</v>
      </c>
      <c r="C5" s="280" t="e">
        <f>Divident_all!#REF!</f>
        <v>#REF!</v>
      </c>
      <c r="D5" s="281" t="e">
        <f>Divident_all!#REF!</f>
        <v>#REF!</v>
      </c>
      <c r="E5" s="282">
        <f ca="1">IFERROR(__xludf.DUMMYFUNCTION("(((H5/GOOGLEFINANCE (""Currency:USDRON""))/D5)+F5)"),2.76356255415375)</f>
        <v>2.7635625541537499</v>
      </c>
      <c r="F5" s="280" t="e">
        <f>Divident_all!#REF!</f>
        <v>#REF!</v>
      </c>
      <c r="G5" s="281">
        <f ca="1">IFERROR(__xludf.DUMMYFUNCTION("H5/GOOGLEFINANCE (""Currency:USDRON"")"),7.82612584410357)</f>
        <v>7.8261258441035704</v>
      </c>
      <c r="H5" s="283">
        <v>35</v>
      </c>
      <c r="I5" s="284" t="e">
        <f>D5/C5</f>
        <v>#REF!</v>
      </c>
      <c r="J5" s="281" t="e">
        <f t="shared" ref="J5:J24" ca="1" si="3">((E5*C5)/100)</f>
        <v>#REF!</v>
      </c>
      <c r="K5" s="330">
        <f ca="1">IFERROR(__xludf.DUMMYFUNCTION("(F5*C5)/100*GOOGLEFINANCE (""Currency:USDRON"")"),3.70911388064)</f>
        <v>3.7091138806399999</v>
      </c>
      <c r="L5" s="286">
        <f ca="1">IFERROR(__xludf.DUMMYFUNCTION("(((H5/GOOGLEFINANCE (""Currency:USDRON""))/D5)*C5)/100*GOOGLEFINANCE (""Currency:USDRON"")"),1.23456790123456)</f>
        <v>1.2345679012345601</v>
      </c>
      <c r="M5" s="287">
        <f t="shared" ca="1" si="2"/>
        <v>0.33284712763295848</v>
      </c>
      <c r="N5" s="288" t="e">
        <f>Divident_all!#REF!</f>
        <v>#REF!</v>
      </c>
      <c r="O5" s="288" t="e">
        <f>Divident_all!#REF!</f>
        <v>#REF!</v>
      </c>
      <c r="P5" s="289" t="e">
        <f>Divident_all!#REF!</f>
        <v>#REF!</v>
      </c>
      <c r="Q5" s="172"/>
      <c r="R5" s="290"/>
    </row>
    <row r="6" spans="1:33" ht="12.75">
      <c r="A6" s="533"/>
      <c r="B6" s="321" t="e">
        <f>Divident_all!#REF!</f>
        <v>#REF!</v>
      </c>
      <c r="C6" s="321" t="e">
        <f>Divident_all!#REF!</f>
        <v>#REF!</v>
      </c>
      <c r="D6" s="322" t="e">
        <f>Divident_all!#REF!</f>
        <v>#REF!</v>
      </c>
      <c r="E6" s="323">
        <f ca="1">IFERROR(__xludf.DUMMYFUNCTION("(((H6/GOOGLEFINANCE (""Currency:USDRON""))/D6)+F6)"),2.00214379536887)</f>
        <v>2.0021437953688701</v>
      </c>
      <c r="F6" s="321" t="e">
        <f>Divident_all!#REF!</f>
        <v>#REF!</v>
      </c>
      <c r="G6" s="322">
        <f ca="1">IFERROR(__xludf.DUMMYFUNCTION("H6/GOOGLEFINANCE (""Currency:usdRON"")"),7.82612584410357)</f>
        <v>7.8261258441035704</v>
      </c>
      <c r="H6" s="324">
        <v>35</v>
      </c>
      <c r="I6" s="325" t="e">
        <f>D6/(C6*3)</f>
        <v>#REF!</v>
      </c>
      <c r="J6" s="322" t="e">
        <f t="shared" ca="1" si="3"/>
        <v>#REF!</v>
      </c>
      <c r="K6" s="326">
        <f ca="1">IFERROR(__xludf.DUMMYFUNCTION("(F6*C6)/100*GOOGLEFINANCE (""Currency:usdRON"")"),2.234805186295)</f>
        <v>2.234805186295</v>
      </c>
      <c r="L6" s="327">
        <f ca="1">IFERROR(__xludf.DUMMYFUNCTION("(((H6/GOOGLEFINANCE (""Currency:usdRON""))/D6)*C6)/100*GOOGLEFINANCE (""Currency:usdRON"")"),0.227541371158392)</f>
        <v>0.22754137115839199</v>
      </c>
      <c r="M6" s="287">
        <f t="shared" ca="1" si="2"/>
        <v>0.10181709464153532</v>
      </c>
      <c r="N6" s="328" t="e">
        <f>Divident_all!#REF!</f>
        <v>#REF!</v>
      </c>
      <c r="O6" s="328" t="e">
        <f>Divident_all!#REF!</f>
        <v>#REF!</v>
      </c>
      <c r="P6" s="329" t="e">
        <f>Divident_all!#REF!</f>
        <v>#REF!</v>
      </c>
      <c r="Q6" s="240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</row>
    <row r="7" spans="1:33" ht="12.75">
      <c r="A7" s="532"/>
      <c r="B7" s="301" t="e">
        <f>Divident_all!#REF!</f>
        <v>#REF!</v>
      </c>
      <c r="C7" s="301" t="e">
        <f>Divident_all!#REF!</f>
        <v>#REF!</v>
      </c>
      <c r="D7" s="302" t="e">
        <f>Divident_all!#REF!</f>
        <v>#REF!</v>
      </c>
      <c r="E7" s="303">
        <f ca="1">IFERROR(__xludf.DUMMYFUNCTION("(((H7/GOOGLEFINANCE (""Currency:USDRON""))/D7)+F7)"),0.724676995620886)</f>
        <v>0.72467699562088606</v>
      </c>
      <c r="F7" s="301" t="e">
        <f>Divident_all!#REF!</f>
        <v>#REF!</v>
      </c>
      <c r="G7" s="302">
        <f ca="1">IFERROR(__xludf.DUMMYFUNCTION("H7/GOOGLEFINANCE (""Currency:USDRON"")"),7.82612584410357)</f>
        <v>7.8261258441035704</v>
      </c>
      <c r="H7" s="304">
        <v>35</v>
      </c>
      <c r="I7" s="305" t="e">
        <f t="shared" ref="I7:I10" si="4">D7/C7</f>
        <v>#REF!</v>
      </c>
      <c r="J7" s="302" t="e">
        <f t="shared" ca="1" si="3"/>
        <v>#REF!</v>
      </c>
      <c r="K7" s="306">
        <f ca="1">IFERROR(__xludf.DUMMYFUNCTION("(F7*C7)/100*GOOGLEFINANCE (""Currency:USDRON"")"),1.5939746010344)</f>
        <v>1.5939746010344</v>
      </c>
      <c r="L7" s="307">
        <f ca="1">IFERROR(__xludf.DUMMYFUNCTION("(((H7/GOOGLEFINANCE (""Currency:USDRON""))/D7)*C7)/100*GOOGLEFINANCE (""Currency:USDRON"")"),0.694101123595505)</f>
        <v>0.69410112359550502</v>
      </c>
      <c r="M7" s="308">
        <f t="shared" ca="1" si="2"/>
        <v>0.43545306377220339</v>
      </c>
      <c r="N7" s="309" t="e">
        <f>Divident_all!#REF!</f>
        <v>#REF!</v>
      </c>
      <c r="O7" s="309" t="e">
        <f>Divident_all!#REF!</f>
        <v>#REF!</v>
      </c>
      <c r="P7" s="310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532"/>
      <c r="B8" s="504" t="e">
        <f>Divident_all!#REF!</f>
        <v>#REF!</v>
      </c>
      <c r="C8" s="504" t="e">
        <f>Divident_all!#REF!</f>
        <v>#REF!</v>
      </c>
      <c r="D8" s="505" t="e">
        <f>Divident_all!#REF!</f>
        <v>#REF!</v>
      </c>
      <c r="E8" s="506">
        <f ca="1">IFERROR(__xludf.DUMMYFUNCTION("(((H8/GOOGLEFINANCE (""Currency:USDRON""))/D8)+F8)"),0.705256438973684)</f>
        <v>0.70525643897368395</v>
      </c>
      <c r="F8" s="504" t="e">
        <f>Divident_all!#REF!</f>
        <v>#REF!</v>
      </c>
      <c r="G8" s="505">
        <f ca="1">IFERROR(__xludf.DUMMYFUNCTION("H8/GOOGLEFINANCE (""Currency:USDRON"")"),6.70810786637449)</f>
        <v>6.7081078663744904</v>
      </c>
      <c r="H8" s="507">
        <v>30</v>
      </c>
      <c r="I8" s="508" t="e">
        <f t="shared" si="4"/>
        <v>#REF!</v>
      </c>
      <c r="J8" s="505" t="e">
        <f t="shared" ca="1" si="3"/>
        <v>#REF!</v>
      </c>
      <c r="K8" s="509">
        <f ca="1">IFERROR(__xludf.DUMMYFUNCTION("(F8*C8)/100*GOOGLEFINANCE (""Currency:USDRON"")"),1.54056974870699)</f>
        <v>1.54056974870699</v>
      </c>
      <c r="L8" s="510">
        <f ca="1">IFERROR(__xludf.DUMMYFUNCTION("(((H8/GOOGLEFINANCE (""Currency:USDRON""))/D8)*C8)/100*GOOGLEFINANCE (""Currency:USDRON"")"),0.517446471054718)</f>
        <v>0.51744647105471797</v>
      </c>
      <c r="M8" s="511">
        <f t="shared" ca="1" si="2"/>
        <v>0.33587993759387658</v>
      </c>
      <c r="N8" s="512" t="e">
        <f>Divident_all!#REF!</f>
        <v>#REF!</v>
      </c>
      <c r="O8" s="512" t="e">
        <f>Divident_all!#REF!</f>
        <v>#REF!</v>
      </c>
      <c r="P8" s="513" t="e">
        <f>Divident_all!#REF!</f>
        <v>#REF!</v>
      </c>
      <c r="Q8" s="240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532"/>
      <c r="B9" s="514" t="e">
        <f>Divident_all!#REF!</f>
        <v>#REF!</v>
      </c>
      <c r="C9" s="514" t="e">
        <f>Divident_all!#REF!</f>
        <v>#REF!</v>
      </c>
      <c r="D9" s="515" t="e">
        <f>Divident_all!#REF!</f>
        <v>#REF!</v>
      </c>
      <c r="E9" s="516">
        <f ca="1">IFERROR(__xludf.DUMMYFUNCTION("(((H9/GOOGLEFINANCE (""Currency:USDRON""))/D9)+F9)"),1.41621599219932)</f>
        <v>1.41621599219932</v>
      </c>
      <c r="F9" s="514" t="e">
        <f>Divident_all!#REF!</f>
        <v>#REF!</v>
      </c>
      <c r="G9" s="515">
        <f ca="1">IFERROR(__xludf.DUMMYFUNCTION("H9/GOOGLEFINANCE (""Currency:USDRON"")"),6.70810786637449)</f>
        <v>6.7081078663744904</v>
      </c>
      <c r="H9" s="507">
        <v>30</v>
      </c>
      <c r="I9" s="517" t="e">
        <f t="shared" si="4"/>
        <v>#REF!</v>
      </c>
      <c r="J9" s="515" t="e">
        <f t="shared" ca="1" si="3"/>
        <v>#REF!</v>
      </c>
      <c r="K9" s="518">
        <f ca="1">IFERROR(__xludf.DUMMYFUNCTION("(E9*C9)/100*GOOGLEFINANCE (""Currency:usdRON"")"),1.75757432198708)</f>
        <v>1.7575743219870801</v>
      </c>
      <c r="L9" s="519">
        <f ca="1">IFERROR(__xludf.DUMMYFUNCTION("(((H9/GOOGLEFINANCE (""Currency:usdRON""))/D9)*C9)/100*GOOGLEFINANCE (""Currency:usdRON"")"),0.485989492119089)</f>
        <v>0.48598949211908898</v>
      </c>
      <c r="M9" s="511">
        <f t="shared" ca="1" si="2"/>
        <v>0.27651148861212227</v>
      </c>
      <c r="N9" s="520" t="e">
        <f>Divident_all!#REF!</f>
        <v>#REF!</v>
      </c>
      <c r="O9" s="520" t="e">
        <f>Divident_all!#REF!</f>
        <v>#REF!</v>
      </c>
      <c r="P9" s="521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532"/>
      <c r="B10" s="301" t="e">
        <f>Divident_all!#REF!</f>
        <v>#REF!</v>
      </c>
      <c r="C10" s="301" t="e">
        <f>Divident_all!#REF!</f>
        <v>#REF!</v>
      </c>
      <c r="D10" s="302" t="e">
        <f>Divident_all!#REF!</f>
        <v>#REF!</v>
      </c>
      <c r="E10" s="303">
        <f ca="1">IFERROR(__xludf.DUMMYFUNCTION("(((H10/GOOGLEFINANCE (""Currency:USDRON""))/D10)+F10)"),0.252884863817229)</f>
        <v>0.25288486381722902</v>
      </c>
      <c r="F10" s="301" t="e">
        <f>Divident_all!#REF!</f>
        <v>#REF!</v>
      </c>
      <c r="G10" s="302">
        <f ca="1">IFERROR(__xludf.DUMMYFUNCTION("H10/GOOGLEFINANCE (""Currency:USDRON"")"),6.70810786637449)</f>
        <v>6.7081078663744904</v>
      </c>
      <c r="H10" s="304">
        <v>30</v>
      </c>
      <c r="I10" s="305" t="e">
        <f t="shared" si="4"/>
        <v>#REF!</v>
      </c>
      <c r="J10" s="302" t="e">
        <f t="shared" ca="1" si="3"/>
        <v>#REF!</v>
      </c>
      <c r="K10" s="306">
        <f ca="1">IFERROR(__xludf.DUMMYFUNCTION("(F10*C10)/100*GOOGLEFINANCE (""Currency:USDRON"")"),1.03760625777799)</f>
        <v>1.0376062577779901</v>
      </c>
      <c r="L10" s="307">
        <f ca="1">IFERROR(__xludf.DUMMYFUNCTION("(((H10/GOOGLEFINANCE (""Currency:USDRON""))/D10)*C10)/100*GOOGLEFINANCE (""Currency:USDRON"")"),0.398702385935537)</f>
        <v>0.39870238593553697</v>
      </c>
      <c r="M10" s="308">
        <f t="shared" ca="1" si="2"/>
        <v>0.38425210232381302</v>
      </c>
      <c r="N10" s="309" t="e">
        <f>Divident_all!#REF!</f>
        <v>#REF!</v>
      </c>
      <c r="O10" s="309" t="e">
        <f>Divident_all!#REF!</f>
        <v>#REF!</v>
      </c>
      <c r="P10" s="310" t="e">
        <f>Divident_all!#REF!</f>
        <v>#REF!</v>
      </c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532"/>
      <c r="B11" s="280" t="e">
        <f>Divident_all!#REF!</f>
        <v>#REF!</v>
      </c>
      <c r="C11" s="280" t="e">
        <f>Divident_all!#REF!</f>
        <v>#REF!</v>
      </c>
      <c r="D11" s="281" t="e">
        <f>Divident_all!#REF!</f>
        <v>#REF!</v>
      </c>
      <c r="E11" s="282">
        <f ca="1">IFERROR(__xludf.DUMMYFUNCTION("(((H11/GOOGLEFINANCE (""Currency:USDRON""))/D11)+F11)"),0.7106645217456)</f>
        <v>0.71066452174560002</v>
      </c>
      <c r="F11" s="280" t="e">
        <f>Divident_all!#REF!</f>
        <v>#REF!</v>
      </c>
      <c r="G11" s="281">
        <f ca="1">IFERROR(__xludf.DUMMYFUNCTION("H11/GOOGLEFINANCE (""Currency:USDRON"")"),6.70810786637449)</f>
        <v>6.7081078663744904</v>
      </c>
      <c r="H11" s="283">
        <v>30</v>
      </c>
      <c r="I11" s="284" t="e">
        <f>D11/(C11)</f>
        <v>#REF!</v>
      </c>
      <c r="J11" s="281" t="e">
        <f t="shared" ca="1" si="3"/>
        <v>#REF!</v>
      </c>
      <c r="K11" s="330">
        <f ca="1">IFERROR(__xludf.DUMMYFUNCTION("(F11*C11)/100*GOOGLEFINANCE (""Currency:USDRON"")"),1.37674150207)</f>
        <v>1.37674150207</v>
      </c>
      <c r="L11" s="286">
        <f ca="1">IFERROR(__xludf.DUMMYFUNCTION("(((H11/GOOGLEFINANCE (""Currency:USDRON""))/D11)*C11)/100*GOOGLEFINANCE (""Currency:USDRON"")"),0.371287128712871)</f>
        <v>0.37128712871287101</v>
      </c>
      <c r="M11" s="287">
        <f t="shared" ca="1" si="2"/>
        <v>0.26968543343439721</v>
      </c>
      <c r="N11" s="288" t="e">
        <f>Divident_all!#REF!</f>
        <v>#REF!</v>
      </c>
      <c r="O11" s="288" t="e">
        <f>Divident_all!#REF!</f>
        <v>#REF!</v>
      </c>
      <c r="P11" s="289" t="e">
        <f>Divident_all!#REF!</f>
        <v>#REF!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532"/>
      <c r="B12" s="280" t="e">
        <f>Divident_all!#REF!</f>
        <v>#REF!</v>
      </c>
      <c r="C12" s="280" t="e">
        <f>Divident_all!#REF!</f>
        <v>#REF!</v>
      </c>
      <c r="D12" s="281" t="e">
        <f>Divident_all!#REF!</f>
        <v>#REF!</v>
      </c>
      <c r="E12" s="282">
        <f ca="1">IFERROR(__xludf.DUMMYFUNCTION("(((H12/GOOGLEFINANCE (""Currency:USDRON""))/D12)+F12)"),1.03788347603454)</f>
        <v>1.0378834760345399</v>
      </c>
      <c r="F12" s="280" t="e">
        <f>Divident_all!#REF!</f>
        <v>#REF!</v>
      </c>
      <c r="G12" s="281">
        <f ca="1">IFERROR(__xludf.DUMMYFUNCTION("H12/GOOGLEFINANCE (""Currency:USDRON"")"),6.70810786637449)</f>
        <v>6.7081078663744904</v>
      </c>
      <c r="H12" s="283">
        <v>30</v>
      </c>
      <c r="I12" s="284" t="e">
        <f>D12/(C12*3)</f>
        <v>#REF!</v>
      </c>
      <c r="J12" s="281" t="e">
        <f t="shared" ca="1" si="3"/>
        <v>#REF!</v>
      </c>
      <c r="K12" s="330">
        <f ca="1">IFERROR(__xludf.DUMMYFUNCTION("(F12*C12)/100*GOOGLEFINANCE (""Currency:USDRON"")"),1.062088712931)</f>
        <v>1.0620887129309999</v>
      </c>
      <c r="L12" s="286">
        <f ca="1">IFERROR(__xludf.DUMMYFUNCTION("(((H12/GOOGLEFINANCE (""Currency:USDRON""))/D12)*C12)/100*GOOGLEFINANCE (""Currency:USDRON"")"),0.121525019857029)</f>
        <v>0.121525019857029</v>
      </c>
      <c r="M12" s="287">
        <f t="shared" ca="1" si="2"/>
        <v>0.11442078084198984</v>
      </c>
      <c r="N12" s="288" t="e">
        <f>Divident_all!#REF!</f>
        <v>#REF!</v>
      </c>
      <c r="O12" s="288" t="e">
        <f>Divident_all!#REF!</f>
        <v>#REF!</v>
      </c>
      <c r="P12" s="289" t="e">
        <f>Divident_all!#REF!</f>
        <v>#REF!</v>
      </c>
      <c r="Q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532"/>
      <c r="B13" s="391" t="e">
        <f>Divident_all!#REF!</f>
        <v>#REF!</v>
      </c>
      <c r="C13" s="391" t="e">
        <f>Divident_all!#REF!</f>
        <v>#REF!</v>
      </c>
      <c r="D13" s="392" t="e">
        <f>Divident_all!#REF!</f>
        <v>#REF!</v>
      </c>
      <c r="E13" s="393">
        <f ca="1">IFERROR(__xludf.DUMMYFUNCTION("(((H13/GOOGLEFINANCE (""Currency:USDRON""))/D13)+F13)"),0.286451330973008)</f>
        <v>0.28645133097300801</v>
      </c>
      <c r="F13" s="391" t="e">
        <f>Divident_all!#REF!</f>
        <v>#REF!</v>
      </c>
      <c r="G13" s="392">
        <f ca="1">IFERROR(__xludf.DUMMYFUNCTION("H13/GOOGLEFINANCE (""Currency:USDRON"")"),6.70810786637449)</f>
        <v>6.7081078663744904</v>
      </c>
      <c r="H13" s="100">
        <v>30</v>
      </c>
      <c r="I13" s="394" t="e">
        <f t="shared" ref="I13:I24" si="5">D13/C13</f>
        <v>#REF!</v>
      </c>
      <c r="J13" s="392" t="e">
        <f t="shared" ca="1" si="3"/>
        <v>#REF!</v>
      </c>
      <c r="K13" s="395">
        <f ca="1">IFERROR(__xludf.DUMMYFUNCTION("(F13*C13)/100*GOOGLEFINANCE (""Currency:USDRON"")"),0.6440125086025)</f>
        <v>0.64401250860250003</v>
      </c>
      <c r="L13" s="396">
        <f ca="1">IFERROR(__xludf.DUMMYFUNCTION("(((H13/GOOGLEFINANCE (""Currency:USDRON""))/D13)*C13)/100*GOOGLEFINANCE (""Currency:USDRON"")"),0.300774877650897)</f>
        <v>0.300774877650897</v>
      </c>
      <c r="M13" s="501">
        <f t="shared" ca="1" si="2"/>
        <v>0.46703266416917139</v>
      </c>
      <c r="N13" s="398" t="e">
        <f>Divident_all!#REF!</f>
        <v>#REF!</v>
      </c>
      <c r="O13" s="398" t="e">
        <f>Divident_all!#REF!</f>
        <v>#REF!</v>
      </c>
      <c r="P13" s="399" t="e">
        <f>Divident_all!#REF!</f>
        <v>#REF!</v>
      </c>
      <c r="Q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532"/>
      <c r="B14" s="391" t="e">
        <f>Divident_all!#REF!</f>
        <v>#REF!</v>
      </c>
      <c r="C14" s="391" t="e">
        <f>Divident_all!#REF!</f>
        <v>#REF!</v>
      </c>
      <c r="D14" s="392" t="e">
        <f>Divident_all!#REF!</f>
        <v>#REF!</v>
      </c>
      <c r="E14" s="393">
        <f ca="1">IFERROR(__xludf.DUMMYFUNCTION("(((H14/GOOGLEFINANCE (""Currency:USDRON""))/D14)+F14)"),0.687295024790106)</f>
        <v>0.68729502479010596</v>
      </c>
      <c r="F14" s="391" t="e">
        <f>Divident_all!#REF!</f>
        <v>#REF!</v>
      </c>
      <c r="G14" s="392">
        <f ca="1">IFERROR(__xludf.DUMMYFUNCTION("H14/GOOGLEFINANCE (""Currency:USDRON"")"),6.70810786637449)</f>
        <v>6.7081078663744904</v>
      </c>
      <c r="H14" s="100">
        <v>30</v>
      </c>
      <c r="I14" s="394" t="e">
        <f t="shared" si="5"/>
        <v>#REF!</v>
      </c>
      <c r="J14" s="392" t="e">
        <f t="shared" ca="1" si="3"/>
        <v>#REF!</v>
      </c>
      <c r="K14" s="395">
        <f ca="1">IFERROR(__xludf.DUMMYFUNCTION("(F14*C14)/100*GOOGLEFINANCE (""Currency:USDRON"")"),1.181509109257)</f>
        <v>1.181509109257</v>
      </c>
      <c r="L14" s="396">
        <f ca="1">IFERROR(__xludf.DUMMYFUNCTION("(((H14/GOOGLEFINANCE (""Currency:USDRON""))/D14)*C14)/100*GOOGLEFINANCE (""Currency:USDRON"")"),0.309245483528161)</f>
        <v>0.309245483528161</v>
      </c>
      <c r="M14" s="501">
        <f t="shared" ca="1" si="2"/>
        <v>0.26173770570641824</v>
      </c>
      <c r="N14" s="398" t="e">
        <f>Divident_all!#REF!</f>
        <v>#REF!</v>
      </c>
      <c r="O14" s="398" t="e">
        <f>Divident_all!#REF!</f>
        <v>#REF!</v>
      </c>
      <c r="P14" s="399" t="e">
        <f>Divident_all!#REF!</f>
        <v>#REF!</v>
      </c>
      <c r="Q14" s="172"/>
      <c r="R14" s="290"/>
    </row>
    <row r="15" spans="1:33" ht="12.75">
      <c r="A15" s="532"/>
      <c r="B15" s="491" t="e">
        <f>Divident_all!#REF!</f>
        <v>#REF!</v>
      </c>
      <c r="C15" s="491" t="e">
        <f>Divident_all!#REF!</f>
        <v>#REF!</v>
      </c>
      <c r="D15" s="492" t="e">
        <f>Divident_all!#REF!</f>
        <v>#REF!</v>
      </c>
      <c r="E15" s="493">
        <f ca="1">IFERROR(__xludf.DUMMYFUNCTION("(((H15/GOOGLEFINANCE (""Currency:USDRON""))/D15)+F15)"),0.160260322918634)</f>
        <v>0.16026032291863401</v>
      </c>
      <c r="F15" s="491" t="e">
        <f>Divident_all!#REF!</f>
        <v>#REF!</v>
      </c>
      <c r="G15" s="492">
        <f ca="1">IFERROR(__xludf.DUMMYFUNCTION("H15/GOOGLEFINANCE (""Currency:USDRON"")"),5.59008988864541)</f>
        <v>5.5900898886454096</v>
      </c>
      <c r="H15" s="411">
        <v>25</v>
      </c>
      <c r="I15" s="494" t="e">
        <f t="shared" si="5"/>
        <v>#REF!</v>
      </c>
      <c r="J15" s="492" t="e">
        <f t="shared" ca="1" si="3"/>
        <v>#REF!</v>
      </c>
      <c r="K15" s="495">
        <f ca="1">IFERROR(__xludf.DUMMYFUNCTION("(F15*C15)/100*GOOGLEFINANCE (""Currency:USDRON"")"),0.8107906653176)</f>
        <v>0.81079066531760002</v>
      </c>
      <c r="L15" s="496">
        <f ca="1">IFERROR(__xludf.DUMMYFUNCTION("(((H15/GOOGLEFINANCE (""Currency:USDRON""))/D15)*C15)/100*GOOGLEFINANCE (""Currency:USDRON"")"),0.249949334594339)</f>
        <v>0.24994933459433899</v>
      </c>
      <c r="M15" s="415">
        <f t="shared" ca="1" si="2"/>
        <v>0.30827850552081743</v>
      </c>
      <c r="N15" s="497" t="e">
        <f>Divident_all!#REF!</f>
        <v>#REF!</v>
      </c>
      <c r="O15" s="497" t="e">
        <f>Divident_all!#REF!</f>
        <v>#REF!</v>
      </c>
      <c r="P15" s="498" t="e">
        <f>Divident_all!#REF!</f>
        <v>#REF!</v>
      </c>
      <c r="Q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532"/>
      <c r="B16" s="339" t="e">
        <f>Divident_all!#REF!</f>
        <v>#REF!</v>
      </c>
      <c r="C16" s="339" t="e">
        <f>Divident_all!#REF!</f>
        <v>#REF!</v>
      </c>
      <c r="D16" s="340" t="e">
        <f>Divident_all!#REF!</f>
        <v>#REF!</v>
      </c>
      <c r="E16" s="341">
        <f ca="1">IFERROR(__xludf.DUMMYFUNCTION("(((H16/GOOGLEFINANCE (""Currency:USDRON""))/D16)+F16)"),0.179341560513715)</f>
        <v>0.179341560513715</v>
      </c>
      <c r="F16" s="339" t="e">
        <f>Divident_all!#REF!</f>
        <v>#REF!</v>
      </c>
      <c r="G16" s="340">
        <f ca="1">IFERROR(__xludf.DUMMYFUNCTION("H16/GOOGLEFINANCE (""Currency:USDRON"")"),5.59008988864541)</f>
        <v>5.5900898886454096</v>
      </c>
      <c r="H16" s="342">
        <v>25</v>
      </c>
      <c r="I16" s="343" t="e">
        <f t="shared" si="5"/>
        <v>#REF!</v>
      </c>
      <c r="J16" s="340" t="e">
        <f t="shared" ca="1" si="3"/>
        <v>#REF!</v>
      </c>
      <c r="K16" s="344">
        <f ca="1">IFERROR(__xludf.DUMMYFUNCTION("(F16*C16)/100*GOOGLEFINANCE (""Currency:USDRON"")"),0.619222600879999)</f>
        <v>0.61922260087999903</v>
      </c>
      <c r="L16" s="345">
        <f ca="1">IFERROR(__xludf.DUMMYFUNCTION("(((H16/GOOGLEFINANCE (""Currency:USDRON""))/D16)*C16)/100*GOOGLEFINANCE (""Currency:USDRON"")"),0.182828726049436)</f>
        <v>0.18282872604943601</v>
      </c>
      <c r="M16" s="346">
        <f t="shared" ca="1" si="2"/>
        <v>0.29525525358669347</v>
      </c>
      <c r="N16" s="347" t="e">
        <f>Divident_all!#REF!</f>
        <v>#REF!</v>
      </c>
      <c r="O16" s="347" t="e">
        <f>Divident_all!#REF!</f>
        <v>#REF!</v>
      </c>
      <c r="P16" s="348" t="e">
        <f>Divident_all!#REF!</f>
        <v>#REF!</v>
      </c>
      <c r="Q16" s="172"/>
      <c r="R16" s="290"/>
    </row>
    <row r="17" spans="1:33" ht="12.75">
      <c r="A17" s="532"/>
      <c r="B17" s="301" t="e">
        <f>Divident_all!#REF!</f>
        <v>#REF!</v>
      </c>
      <c r="C17" s="301" t="e">
        <f>Divident_all!#REF!</f>
        <v>#REF!</v>
      </c>
      <c r="D17" s="302" t="e">
        <f>Divident_all!#REF!</f>
        <v>#REF!</v>
      </c>
      <c r="E17" s="303">
        <f ca="1">IFERROR(__xludf.DUMMYFUNCTION("(((H17/GOOGLEFINANCE (""Currency:USDRON""))/D17)+F17)"),0.17262085802939)</f>
        <v>0.17262085802939001</v>
      </c>
      <c r="F17" s="301" t="e">
        <f>Divident_all!#REF!</f>
        <v>#REF!</v>
      </c>
      <c r="G17" s="302">
        <f ca="1">IFERROR(__xludf.DUMMYFUNCTION("H17/GOOGLEFINANCE (""Currency:USDRON"")"),4.47207191091632)</f>
        <v>4.4720719109163198</v>
      </c>
      <c r="H17" s="304">
        <v>20</v>
      </c>
      <c r="I17" s="305" t="e">
        <f t="shared" si="5"/>
        <v>#REF!</v>
      </c>
      <c r="J17" s="302" t="e">
        <f t="shared" ca="1" si="3"/>
        <v>#REF!</v>
      </c>
      <c r="K17" s="306">
        <f ca="1">IFERROR(__xludf.DUMMYFUNCTION("(F17*C17)/100*GOOGLEFINANCE (""Currency:USDRON"")"),0.2557382848)</f>
        <v>0.25573828479999999</v>
      </c>
      <c r="L17" s="307">
        <f ca="1">IFERROR(__xludf.DUMMYFUNCTION("(((H17/GOOGLEFINANCE (""Currency:USDRON""))/D17)*C17)/100*GOOGLEFINANCE (""Currency:USDRON"")"),0.13025921583952)</f>
        <v>0.13025921583951999</v>
      </c>
      <c r="M17" s="308">
        <f t="shared" ca="1" si="2"/>
        <v>0.50934577879643306</v>
      </c>
      <c r="N17" s="309" t="e">
        <f>Divident_all!#REF!</f>
        <v>#REF!</v>
      </c>
      <c r="O17" s="309" t="e">
        <f>Divident_all!#REF!</f>
        <v>#REF!</v>
      </c>
      <c r="P17" s="310" t="e">
        <f>Divident_all!#REF!</f>
        <v>#REF!</v>
      </c>
      <c r="Q17" s="172"/>
      <c r="R17" s="290"/>
    </row>
    <row r="18" spans="1:33" ht="12.75">
      <c r="A18" s="532"/>
      <c r="B18" s="522" t="e">
        <f>Divident_all!#REF!</f>
        <v>#REF!</v>
      </c>
      <c r="C18" s="522" t="e">
        <f>Divident_all!#REF!</f>
        <v>#REF!</v>
      </c>
      <c r="D18" s="523" t="e">
        <f>Divident_all!#REF!</f>
        <v>#REF!</v>
      </c>
      <c r="E18" s="524">
        <f ca="1">IFERROR(__xludf.DUMMYFUNCTION("(((H18/GOOGLEFINANCE (""Currency:USDRON""))/D18)+F18)"),0.10232420613723)</f>
        <v>0.10232420613723001</v>
      </c>
      <c r="F18" s="522" t="e">
        <f>Divident_all!#REF!</f>
        <v>#REF!</v>
      </c>
      <c r="G18" s="523">
        <f ca="1">IFERROR(__xludf.DUMMYFUNCTION("H18/GOOGLEFINANCE (""Currency:USDRON"")"),4.47207191091632)</f>
        <v>4.4720719109163198</v>
      </c>
      <c r="H18" s="525">
        <v>20</v>
      </c>
      <c r="I18" s="526" t="e">
        <f t="shared" si="5"/>
        <v>#REF!</v>
      </c>
      <c r="J18" s="523" t="e">
        <f t="shared" ca="1" si="3"/>
        <v>#REF!</v>
      </c>
      <c r="K18" s="527">
        <f ca="1">IFERROR(__xludf.DUMMYFUNCTION("(F18*C18)/100*GOOGLEFINANCE (""Currency:USDRON"")"),0.682860777024999)</f>
        <v>0.68286077702499903</v>
      </c>
      <c r="L18" s="528">
        <f ca="1">IFERROR(__xludf.DUMMYFUNCTION("(((H18/GOOGLEFINANCE (""Currency:USDRON""))/D18)*C18)/100*GOOGLEFINANCE (""Currency:USDRON"")"),0.117964273677114)</f>
        <v>0.117964273677114</v>
      </c>
      <c r="M18" s="529">
        <f t="shared" ca="1" si="2"/>
        <v>0.17275010902082522</v>
      </c>
      <c r="N18" s="530" t="e">
        <f>Divident_all!#REF!</f>
        <v>#REF!</v>
      </c>
      <c r="O18" s="530" t="e">
        <f>Divident_all!#REF!</f>
        <v>#REF!</v>
      </c>
      <c r="P18" s="531" t="e">
        <f>Divident_all!#REF!</f>
        <v>#REF!</v>
      </c>
      <c r="Q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532"/>
      <c r="B19" s="331" t="e">
        <f>Divident_all!#REF!</f>
        <v>#REF!</v>
      </c>
      <c r="C19" s="331" t="e">
        <f>Divident_all!#REF!</f>
        <v>#REF!</v>
      </c>
      <c r="D19" s="332" t="e">
        <f>Divident_all!#REF!</f>
        <v>#REF!</v>
      </c>
      <c r="E19" s="333">
        <f ca="1">IFERROR(__xludf.DUMMYFUNCTION("(((H19/GOOGLEFINANCE (""Currency:USDRON""))/D19)+F19)"),0.267487647982582)</f>
        <v>0.26748764798258201</v>
      </c>
      <c r="F19" s="331" t="e">
        <f>Divident_all!#REF!</f>
        <v>#REF!</v>
      </c>
      <c r="G19" s="332">
        <f ca="1">IFERROR(__xludf.DUMMYFUNCTION("H19/GOOGLEFINANCE (""Currency:USDRON"")"),4.47207191091632)</f>
        <v>4.4720719109163198</v>
      </c>
      <c r="H19" s="304">
        <v>20</v>
      </c>
      <c r="I19" s="334" t="e">
        <f t="shared" si="5"/>
        <v>#REF!</v>
      </c>
      <c r="J19" s="332" t="e">
        <f t="shared" ca="1" si="3"/>
        <v>#REF!</v>
      </c>
      <c r="K19" s="335">
        <f ca="1">IFERROR(__xludf.DUMMYFUNCTION("(F19*C19)/100*GOOGLEFINANCE (""Currency:USDRON"")"),0.455082485376)</f>
        <v>0.45508248537599999</v>
      </c>
      <c r="L19" s="336">
        <f ca="1">IFERROR(__xludf.DUMMYFUNCTION("(((H19/GOOGLEFINANCE (""Currency:USDRON""))/D19)*C19)/100*GOOGLEFINANCE (""Currency:USDRON"")"),0.119121479091698)</f>
        <v>0.119121479091698</v>
      </c>
      <c r="M19" s="308">
        <f t="shared" ca="1" si="2"/>
        <v>0.26175799535171518</v>
      </c>
      <c r="N19" s="337" t="e">
        <f>Divident_all!#REF!</f>
        <v>#REF!</v>
      </c>
      <c r="O19" s="337" t="e">
        <f>Divident_all!#REF!</f>
        <v>#REF!</v>
      </c>
      <c r="P19" s="338" t="e">
        <f>Divident_all!#REF!</f>
        <v>#REF!</v>
      </c>
      <c r="Q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532"/>
      <c r="B20" s="301" t="e">
        <f>Divident_all!#REF!</f>
        <v>#REF!</v>
      </c>
      <c r="C20" s="301" t="e">
        <f>Divident_all!#REF!</f>
        <v>#REF!</v>
      </c>
      <c r="D20" s="302" t="e">
        <f>Divident_all!#REF!</f>
        <v>#REF!</v>
      </c>
      <c r="E20" s="303">
        <f ca="1">IFERROR(__xludf.DUMMYFUNCTION("(((H20/GOOGLEFINANCE (""Currency:USDRON""))/D20)+F20)"),0.148964715784889)</f>
        <v>0.14896471578488901</v>
      </c>
      <c r="F20" s="301" t="e">
        <f>Divident_all!#REF!</f>
        <v>#REF!</v>
      </c>
      <c r="G20" s="302">
        <f ca="1">IFERROR(__xludf.DUMMYFUNCTION("H20/GOOGLEFINANCE (""Currency:USDRON"")"),4.47207191091632)</f>
        <v>4.4720719109163198</v>
      </c>
      <c r="H20" s="304">
        <v>20</v>
      </c>
      <c r="I20" s="305" t="e">
        <f t="shared" si="5"/>
        <v>#REF!</v>
      </c>
      <c r="J20" s="302" t="e">
        <f t="shared" ca="1" si="3"/>
        <v>#REF!</v>
      </c>
      <c r="K20" s="306">
        <f ca="1">IFERROR(__xludf.DUMMYFUNCTION("(F20*C20)/100*GOOGLEFINANCE (""Currency:USDRON"")"),0.506114966057474)</f>
        <v>0.50611496605747397</v>
      </c>
      <c r="L20" s="307">
        <f ca="1">IFERROR(__xludf.DUMMYFUNCTION("(((H20/GOOGLEFINANCE (""Currency:USDRON""))/D20)*C20)/100*GOOGLEFINANCE (""Currency:USDRON"")"),0.120579375761071)</f>
        <v>0.120579375761071</v>
      </c>
      <c r="M20" s="308">
        <f t="shared" ca="1" si="2"/>
        <v>0.23824503096669564</v>
      </c>
      <c r="N20" s="309" t="e">
        <f>Divident_all!#REF!</f>
        <v>#REF!</v>
      </c>
      <c r="O20" s="309" t="e">
        <f>Divident_all!#REF!</f>
        <v>#REF!</v>
      </c>
      <c r="P20" s="310" t="e">
        <f>Divident_all!#REF!</f>
        <v>#REF!</v>
      </c>
      <c r="Q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532"/>
      <c r="B21" s="418" t="e">
        <f>Divident_all!#REF!</f>
        <v>#REF!</v>
      </c>
      <c r="C21" s="418" t="e">
        <f>Divident_all!#REF!</f>
        <v>#REF!</v>
      </c>
      <c r="D21" s="419" t="e">
        <f>Divident_all!#REF!</f>
        <v>#REF!</v>
      </c>
      <c r="E21" s="420">
        <f ca="1">IFERROR(__xludf.DUMMYFUNCTION("(((H21/GOOGLEFINANCE (""Currency:USDRON""))/D21)+F21)"),0.0852044420862416)</f>
        <v>8.5204442086241602E-2</v>
      </c>
      <c r="F21" s="418" t="e">
        <f>Divident_all!#REF!</f>
        <v>#REF!</v>
      </c>
      <c r="G21" s="419">
        <f ca="1">IFERROR(__xludf.DUMMYFUNCTION("H21/GOOGLEFINANCE (""Currency:USDRON"")"),4.47207191091632)</f>
        <v>4.4720719109163198</v>
      </c>
      <c r="H21" s="421">
        <v>20</v>
      </c>
      <c r="I21" s="422" t="e">
        <f t="shared" si="5"/>
        <v>#REF!</v>
      </c>
      <c r="J21" s="419" t="e">
        <f t="shared" ca="1" si="3"/>
        <v>#REF!</v>
      </c>
      <c r="K21" s="423">
        <f ca="1">IFERROR(__xludf.DUMMYFUNCTION("(F21*C21)/100*GOOGLEFINANCE (""Currency:USDRON"")"),0.3784124123472)</f>
        <v>0.37841241234720002</v>
      </c>
      <c r="L21" s="424">
        <f ca="1">IFERROR(__xludf.DUMMYFUNCTION("(((H21/GOOGLEFINANCE (""Currency:USDRON""))/D21)*C21)/100*GOOGLEFINANCE (""Currency:USDRON"")"),0.124575311438278)</f>
        <v>0.12457531143827801</v>
      </c>
      <c r="M21" s="500">
        <f t="shared" ca="1" si="2"/>
        <v>0.32920514067064471</v>
      </c>
      <c r="N21" s="426" t="e">
        <f>Divident_all!#REF!</f>
        <v>#REF!</v>
      </c>
      <c r="O21" s="426" t="e">
        <f>Divident_all!#REF!</f>
        <v>#REF!</v>
      </c>
      <c r="P21" s="427" t="e">
        <f>Divident_all!#REF!</f>
        <v>#REF!</v>
      </c>
      <c r="Q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532"/>
      <c r="B22" s="418" t="e">
        <f>Divident_all!#REF!</f>
        <v>#REF!</v>
      </c>
      <c r="C22" s="418" t="e">
        <f>Divident_all!#REF!</f>
        <v>#REF!</v>
      </c>
      <c r="D22" s="419" t="e">
        <f>Divident_all!#REF!</f>
        <v>#REF!</v>
      </c>
      <c r="E22" s="420">
        <f ca="1">IFERROR(__xludf.DUMMYFUNCTION("(((H22/GOOGLEFINANCE (""Currency:USDRON""))/D22)+F22)"),0.0794407309959381)</f>
        <v>7.9440730995938097E-2</v>
      </c>
      <c r="F22" s="418" t="e">
        <f>Divident_all!#REF!</f>
        <v>#REF!</v>
      </c>
      <c r="G22" s="419">
        <f ca="1">IFERROR(__xludf.DUMMYFUNCTION("H22/GOOGLEFINANCE (""Currency:USDRON"")"),4.47207191091632)</f>
        <v>4.4720719109163198</v>
      </c>
      <c r="H22" s="421">
        <v>20</v>
      </c>
      <c r="I22" s="422" t="e">
        <f t="shared" si="5"/>
        <v>#REF!</v>
      </c>
      <c r="J22" s="419" t="e">
        <f t="shared" ca="1" si="3"/>
        <v>#REF!</v>
      </c>
      <c r="K22" s="423">
        <f ca="1">IFERROR(__xludf.DUMMYFUNCTION("(F22*C22)/100*GOOGLEFINANCE (""Currency:USDRON"")"),0.314748606024)</f>
        <v>0.31474860602400001</v>
      </c>
      <c r="L22" s="424">
        <f ca="1">IFERROR(__xludf.DUMMYFUNCTION("(((H22/GOOGLEFINANCE (""Currency:USDRON""))/D22)*C22)/100*GOOGLEFINANCE (""Currency:USDRON"")"),0.111581198568041)</f>
        <v>0.111581198568041</v>
      </c>
      <c r="M22" s="500">
        <f t="shared" ca="1" si="2"/>
        <v>0.35450895232728297</v>
      </c>
      <c r="N22" s="426" t="e">
        <f>Divident_all!#REF!</f>
        <v>#REF!</v>
      </c>
      <c r="O22" s="426" t="e">
        <f>Divident_all!#REF!</f>
        <v>#REF!</v>
      </c>
      <c r="P22" s="427" t="e">
        <f>Divident_all!#REF!</f>
        <v>#REF!</v>
      </c>
      <c r="Q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532"/>
      <c r="B23" s="349" t="e">
        <f>Divident_all!#REF!</f>
        <v>#REF!</v>
      </c>
      <c r="C23" s="349" t="e">
        <f>Divident_all!#REF!</f>
        <v>#REF!</v>
      </c>
      <c r="D23" s="350" t="e">
        <f>Divident_all!#REF!</f>
        <v>#REF!</v>
      </c>
      <c r="E23" s="351">
        <f ca="1">IFERROR(__xludf.DUMMYFUNCTION("(((H23/GOOGLEFINANCE (""Currency:USDRON""))/D23)+F23)"),0.186761893153628)</f>
        <v>0.18676189315362801</v>
      </c>
      <c r="F23" s="349" t="e">
        <f>Divident_all!#REF!</f>
        <v>#REF!</v>
      </c>
      <c r="G23" s="350">
        <f ca="1">IFERROR(__xludf.DUMMYFUNCTION("H23/GOOGLEFINANCE (""Currency:USDRON"")"),4.47207191091632)</f>
        <v>4.4720719109163198</v>
      </c>
      <c r="H23" s="352">
        <v>20</v>
      </c>
      <c r="I23" s="353" t="e">
        <f t="shared" si="5"/>
        <v>#REF!</v>
      </c>
      <c r="J23" s="350" t="e">
        <f t="shared" ca="1" si="3"/>
        <v>#REF!</v>
      </c>
      <c r="K23" s="344">
        <f ca="1">IFERROR(__xludf.DUMMYFUNCTION("(F23*C23)/100*GOOGLEFINANCE (""Currency:USDRON"")"),0.417428301061799)</f>
        <v>0.41742830106179901</v>
      </c>
      <c r="L23" s="354">
        <f ca="1">IFERROR(__xludf.DUMMYFUNCTION("(((H23/GOOGLEFINANCE (""Currency:USDRON""))/D23)*C23)/100*GOOGLEFINANCE (""Currency:USDRON"")"),0.108770718232044)</f>
        <v>0.108770718232044</v>
      </c>
      <c r="M23" s="346">
        <f t="shared" ca="1" si="2"/>
        <v>0.26057341573479181</v>
      </c>
      <c r="N23" s="355" t="e">
        <f>Divident_all!#REF!</f>
        <v>#REF!</v>
      </c>
      <c r="O23" s="355" t="e">
        <f>Divident_all!#REF!</f>
        <v>#REF!</v>
      </c>
      <c r="P23" s="356" t="e">
        <f>Divident_all!#REF!</f>
        <v>#REF!</v>
      </c>
      <c r="Q23" s="172"/>
      <c r="R23" s="290"/>
    </row>
    <row r="24" spans="1:33" ht="12.75">
      <c r="A24" s="532"/>
      <c r="B24" s="418" t="e">
        <f>Divident_all!#REF!</f>
        <v>#REF!</v>
      </c>
      <c r="C24" s="418" t="e">
        <f>Divident_all!#REF!</f>
        <v>#REF!</v>
      </c>
      <c r="D24" s="419" t="e">
        <f>Divident_all!#REF!</f>
        <v>#REF!</v>
      </c>
      <c r="E24" s="420">
        <f ca="1">IFERROR(__xludf.DUMMYFUNCTION("(((H24/GOOGLEFINANCE (""Currency:USDRON""))/D24)+F24)"),0.0390229121367321)</f>
        <v>3.9022912136732098E-2</v>
      </c>
      <c r="F24" s="418" t="e">
        <f>Divident_all!#REF!</f>
        <v>#REF!</v>
      </c>
      <c r="G24" s="419">
        <f ca="1">IFERROR(__xludf.DUMMYFUNCTION("H24/GOOGLEFINANCE (""Currency:USDRON"")"),3.35405393318724)</f>
        <v>3.3540539331872399</v>
      </c>
      <c r="H24" s="421">
        <v>15</v>
      </c>
      <c r="I24" s="422" t="e">
        <f t="shared" si="5"/>
        <v>#REF!</v>
      </c>
      <c r="J24" s="419" t="e">
        <f t="shared" ca="1" si="3"/>
        <v>#REF!</v>
      </c>
      <c r="K24" s="483">
        <f ca="1">IFERROR(__xludf.DUMMYFUNCTION("(F24*C24)/100*GOOGLEFINANCE (""Currency:USDRON"")"),0.168946858425)</f>
        <v>0.16894685842500001</v>
      </c>
      <c r="L24" s="424">
        <f ca="1">IFERROR(__xludf.DUMMYFUNCTION("(((H24/GOOGLEFINANCE (""Currency:USDRON""))/D24)*C24)/100*GOOGLEFINANCE (""Currency:USDRON"")"),0.0492009761473667)</f>
        <v>4.9200976147366703E-2</v>
      </c>
      <c r="M24" s="425">
        <f t="shared" ca="1" si="2"/>
        <v>0.29122161019175341</v>
      </c>
      <c r="N24" s="426" t="e">
        <f>Divident_all!#REF!</f>
        <v>#REF!</v>
      </c>
      <c r="O24" s="426" t="e">
        <f>Divident_all!#REF!</f>
        <v>#REF!</v>
      </c>
      <c r="P24" s="427" t="e">
        <f>Divident_all!#REF!</f>
        <v>#REF!</v>
      </c>
      <c r="Q24" s="172"/>
      <c r="R24" s="29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G26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50</v>
      </c>
      <c r="L2" s="276">
        <f ca="1">((L4*4)*100)/(500+K2)</f>
        <v>4.7281946685047753</v>
      </c>
      <c r="M2" s="13">
        <v>10</v>
      </c>
      <c r="N2" s="13"/>
      <c r="O2" s="13"/>
      <c r="P2" s="13"/>
    </row>
    <row r="3" spans="1:33" ht="15.75" customHeight="1">
      <c r="A3" s="277" t="s">
        <v>35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AVERAGE(C5:C26)</f>
        <v>#REF!</v>
      </c>
      <c r="D4" s="124" t="e">
        <f t="shared" si="0"/>
        <v>#REF!</v>
      </c>
      <c r="E4" s="122">
        <f t="shared" ca="1" si="0"/>
        <v>1.9485414520402187</v>
      </c>
      <c r="F4" s="122"/>
      <c r="G4" s="253">
        <f ca="1">SUM(G5:G26)</f>
        <v>125.13826711961225</v>
      </c>
      <c r="H4" s="122">
        <f>500+K2+M2-SUM(H5:H26)</f>
        <v>0</v>
      </c>
      <c r="I4" s="124"/>
      <c r="J4" s="124" t="e">
        <f t="shared" ref="J4:L4" ca="1" si="1">SUM(J5:J26)</f>
        <v>#REF!</v>
      </c>
      <c r="K4" s="129">
        <f t="shared" ca="1" si="1"/>
        <v>28.383746547134578</v>
      </c>
      <c r="L4" s="129">
        <f t="shared" ca="1" si="1"/>
        <v>6.5012676691940658</v>
      </c>
      <c r="M4" s="123">
        <f t="shared" ref="M4:M26" ca="1" si="2">L4/K4</f>
        <v>0.22904896146806905</v>
      </c>
      <c r="N4" s="131"/>
      <c r="O4" s="131"/>
      <c r="P4" s="132"/>
    </row>
    <row r="5" spans="1:33" ht="12.75">
      <c r="A5" s="172"/>
      <c r="B5" s="280" t="e">
        <f>Divident_all!#REF!</f>
        <v>#REF!</v>
      </c>
      <c r="C5" s="280" t="e">
        <f>Divident_all!#REF!</f>
        <v>#REF!</v>
      </c>
      <c r="D5" s="281" t="e">
        <f>Divident_all!#REF!</f>
        <v>#REF!</v>
      </c>
      <c r="E5" s="282">
        <f ca="1">IFERROR(__xludf.DUMMYFUNCTION("(((H5/GOOGLEFINANCE (""Currency:USDRON""))/D5)+F5)"),3.48244926332796)</f>
        <v>3.4824492633279598</v>
      </c>
      <c r="F5" s="280" t="e">
        <f>Divident_all!#REF!</f>
        <v>#REF!</v>
      </c>
      <c r="G5" s="281">
        <f ca="1">IFERROR(__xludf.DUMMYFUNCTION("H5/GOOGLEFINANCE (""Currency:USDRON"")"),7.82612584410357)</f>
        <v>7.8261258441035704</v>
      </c>
      <c r="H5" s="283">
        <v>35</v>
      </c>
      <c r="I5" s="284" t="e">
        <f t="shared" ref="I5:I10" si="3">D5/C5</f>
        <v>#REF!</v>
      </c>
      <c r="J5" s="281" t="e">
        <f t="shared" ref="J5:J8" ca="1" si="4">((E5*C5)/100)</f>
        <v>#REF!</v>
      </c>
      <c r="K5" s="330">
        <f ca="1">IFERROR(__xludf.DUMMYFUNCTION("(F5*C5)/100*GOOGLEFINANCE (""Currency:USDRON"")"),5.290104200304)</f>
        <v>5.2901042003040004</v>
      </c>
      <c r="L5" s="286">
        <f ca="1">IFERROR(__xludf.DUMMYFUNCTION("(((H5/GOOGLEFINANCE (""Currency:USDRON""))/D5)*C5)/100*GOOGLEFINANCE (""Currency:USDRON"")"),1.25106382978723)</f>
        <v>1.2510638297872301</v>
      </c>
      <c r="M5" s="469">
        <f t="shared" ca="1" si="2"/>
        <v>0.23649133975760564</v>
      </c>
      <c r="N5" s="288" t="e">
        <f>Divident_all!#REF!</f>
        <v>#REF!</v>
      </c>
      <c r="O5" s="288" t="e">
        <f>Divident_all!#REF!</f>
        <v>#REF!</v>
      </c>
      <c r="P5" s="289" t="e">
        <f>Divident_all!#REF!</f>
        <v>#REF!</v>
      </c>
      <c r="Q5" s="172"/>
      <c r="R5" s="290"/>
    </row>
    <row r="6" spans="1:33" ht="12.75">
      <c r="A6" s="172"/>
      <c r="B6" s="311" t="e">
        <f>Divident_all!#REF!</f>
        <v>#REF!</v>
      </c>
      <c r="C6" s="311" t="e">
        <f>Divident_all!#REF!</f>
        <v>#REF!</v>
      </c>
      <c r="D6" s="383" t="e">
        <f>Divident_all!#REF!</f>
        <v>#REF!</v>
      </c>
      <c r="E6" s="313">
        <f ca="1">IFERROR(__xludf.DUMMYFUNCTION("(((H6/GOOGLEFINANCE (""Currency:cadRON""))/D6)+F6)"),1.19903116077195)</f>
        <v>1.1990311607719499</v>
      </c>
      <c r="F6" s="311" t="e">
        <f>Divident_all!#REF!</f>
        <v>#REF!</v>
      </c>
      <c r="G6" s="384">
        <f ca="1">IFERROR(__xludf.DUMMYFUNCTION("H6/GOOGLEFINANCE (""Currency:cadRON"")"),10.5476606764086)</f>
        <v>10.547660676408601</v>
      </c>
      <c r="H6" s="314">
        <v>35</v>
      </c>
      <c r="I6" s="315" t="e">
        <f t="shared" si="3"/>
        <v>#REF!</v>
      </c>
      <c r="J6" s="383" t="e">
        <f t="shared" ca="1" si="4"/>
        <v>#REF!</v>
      </c>
      <c r="K6" s="316">
        <f ca="1">IFERROR(__xludf.DUMMYFUNCTION("(F6*C6)/100*GOOGLEFINANCE (""Currency:cadRON"")"),2.75279206008608)</f>
        <v>2.75279206008608</v>
      </c>
      <c r="L6" s="317">
        <f ca="1">IFERROR(__xludf.DUMMYFUNCTION("(((H6/GOOGLEFINANCE (""Currency:cadRON""))/D6)*C6)/100*GOOGLEFINANCE (""Currency:cadRON"")"),0.778313705838135)</f>
        <v>0.77831370583813497</v>
      </c>
      <c r="M6" s="318">
        <f t="shared" ca="1" si="2"/>
        <v>0.28273610532493221</v>
      </c>
      <c r="N6" s="319" t="e">
        <f>Divident_all!#REF!</f>
        <v>#REF!</v>
      </c>
      <c r="O6" s="319" t="e">
        <f>Divident_all!#REF!</f>
        <v>#REF!</v>
      </c>
      <c r="P6" s="320" t="e">
        <f>Divident_all!#REF!</f>
        <v>#REF!</v>
      </c>
      <c r="Q6" s="240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</row>
    <row r="7" spans="1:33" ht="12.75">
      <c r="A7" s="172"/>
      <c r="B7" s="339" t="e">
        <f>Divident_all!#REF!</f>
        <v>#REF!</v>
      </c>
      <c r="C7" s="339" t="e">
        <f>Divident_all!#REF!</f>
        <v>#REF!</v>
      </c>
      <c r="D7" s="340" t="e">
        <f>Divident_all!#REF!</f>
        <v>#REF!</v>
      </c>
      <c r="E7" s="341">
        <f ca="1">IFERROR(__xludf.DUMMYFUNCTION("(((H7/GOOGLEFINANCE (""Currency:USDRON""))/D7)+F7)"),2.75443992707499)</f>
        <v>2.7544399270749902</v>
      </c>
      <c r="F7" s="339" t="e">
        <f>Divident_all!#REF!</f>
        <v>#REF!</v>
      </c>
      <c r="G7" s="340">
        <f ca="1">IFERROR(__xludf.DUMMYFUNCTION("H7/GOOGLEFINANCE (""Currency:USDRON"")"),6.70810786637449)</f>
        <v>6.7081078663744904</v>
      </c>
      <c r="H7" s="342">
        <v>30</v>
      </c>
      <c r="I7" s="343" t="e">
        <f t="shared" si="3"/>
        <v>#REF!</v>
      </c>
      <c r="J7" s="340" t="e">
        <f t="shared" ca="1" si="4"/>
        <v>#REF!</v>
      </c>
      <c r="K7" s="344">
        <f ca="1">IFERROR(__xludf.DUMMYFUNCTION("(F7*C7)/100*GOOGLEFINANCE (""Currency:USDRON"")"),1.58717081061999)</f>
        <v>1.58717081061999</v>
      </c>
      <c r="L7" s="345">
        <f ca="1">IFERROR(__xludf.DUMMYFUNCTION("(((H7/GOOGLEFINANCE (""Currency:USDRON""))/D7)*C7)/100*GOOGLEFINANCE (""Currency:USDRON"")"),0.506958250497017)</f>
        <v>0.50695825049701704</v>
      </c>
      <c r="M7" s="346">
        <f t="shared" ca="1" si="2"/>
        <v>0.31941001378357381</v>
      </c>
      <c r="N7" s="347" t="e">
        <f>Divident_all!#REF!</f>
        <v>#REF!</v>
      </c>
      <c r="O7" s="347" t="e">
        <f>Divident_all!#REF!</f>
        <v>#REF!</v>
      </c>
      <c r="P7" s="348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172"/>
      <c r="B8" s="485" t="e">
        <f>Divident_all!#REF!</f>
        <v>#REF!</v>
      </c>
      <c r="C8" s="485" t="e">
        <f>Divident_all!#REF!</f>
        <v>#REF!</v>
      </c>
      <c r="D8" s="481" t="e">
        <f>Divident_all!#REF!</f>
        <v>#REF!</v>
      </c>
      <c r="E8" s="486">
        <f ca="1">IFERROR(__xludf.DUMMYFUNCTION("(((H8/GOOGLEFINANCE (""Currency:USDRON""))/D8)+F8)"),0.499825550556107)</f>
        <v>0.499825550556107</v>
      </c>
      <c r="F8" s="485" t="e">
        <f>Divident_all!#REF!</f>
        <v>#REF!</v>
      </c>
      <c r="G8" s="481">
        <f ca="1">IFERROR(__xludf.DUMMYFUNCTION("H8/GOOGLEFINANCE (""Currency:USDRON"")"),6.70810786637449)</f>
        <v>6.7081078663744904</v>
      </c>
      <c r="H8" s="168">
        <v>30</v>
      </c>
      <c r="I8" s="169" t="e">
        <f t="shared" si="3"/>
        <v>#REF!</v>
      </c>
      <c r="J8" s="481" t="e">
        <f t="shared" ca="1" si="4"/>
        <v>#REF!</v>
      </c>
      <c r="K8" s="487">
        <f ca="1">IFERROR(__xludf.DUMMYFUNCTION("(F8*C8)/100*GOOGLEFINANCE (""Currency:USDRON"")"),1.69061324383999)</f>
        <v>1.6906132438399899</v>
      </c>
      <c r="L8" s="482">
        <f ca="1">IFERROR(__xludf.DUMMYFUNCTION("(((H8/GOOGLEFINANCE (""Currency:USDRON""))/D8)*C8)/100*GOOGLEFINANCE (""Currency:USDRON"")"),0.444117191133157)</f>
        <v>0.44411719113315701</v>
      </c>
      <c r="M8" s="318">
        <f t="shared" ca="1" si="2"/>
        <v>0.26269591389477548</v>
      </c>
      <c r="N8" s="488" t="e">
        <f>Divident_all!#REF!</f>
        <v>#REF!</v>
      </c>
      <c r="O8" s="488" t="e">
        <f>Divident_all!#REF!</f>
        <v>#REF!</v>
      </c>
      <c r="P8" s="489" t="e">
        <f>Divident_all!#REF!</f>
        <v>#REF!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172"/>
      <c r="B9" s="349" t="e">
        <f>Divident_all!#REF!</f>
        <v>#REF!</v>
      </c>
      <c r="C9" s="349" t="e">
        <f>Divident_all!#REF!</f>
        <v>#REF!</v>
      </c>
      <c r="D9" s="484" t="e">
        <f>Divident_all!#REF!</f>
        <v>#REF!</v>
      </c>
      <c r="E9" s="351" t="str">
        <f ca="1">IFERROR(__xludf.DUMMYFUNCTION("(((H9/GOOGLEFINANCE (""Currency:gbpRON"")*100)/D9)+F9)"),"#N/A")</f>
        <v>#N/A</v>
      </c>
      <c r="F9" s="349" t="e">
        <f>Divident_all!#REF!</f>
        <v>#REF!</v>
      </c>
      <c r="G9" s="387">
        <f ca="1">IFERROR(__xludf.DUMMYFUNCTION("H9/GOOGLEFINANCE (""Currency:gbpRON"")"),5.30746725719953)</f>
        <v>5.3074672571995301</v>
      </c>
      <c r="H9" s="352">
        <v>30</v>
      </c>
      <c r="I9" s="353" t="e">
        <f t="shared" si="3"/>
        <v>#REF!</v>
      </c>
      <c r="J9" s="387" t="e">
        <f t="shared" ref="J9:J10" ca="1" si="5">((E9*C9)/100)/100</f>
        <v>#VALUE!</v>
      </c>
      <c r="K9" s="470" t="str">
        <f ca="1">IFERROR(__xludf.DUMMYFUNCTION("(E9*C9)/100/100*GOOGLEFINANCE (""Currency:gbpRON"")"),"#N/A")</f>
        <v>#N/A</v>
      </c>
      <c r="L9" s="354" t="str">
        <f ca="1">IFERROR(__xludf.DUMMYFUNCTION("(((H9/GOOGLEFINANCE (""Currency:gbpRON""))/D9)*C9)/100*GOOGLEFINANCE (""Currency:gbpRON"")"),"#N/A")</f>
        <v>#N/A</v>
      </c>
      <c r="M9" s="346" t="e">
        <f t="shared" ca="1" si="2"/>
        <v>#VALUE!</v>
      </c>
      <c r="N9" s="355" t="e">
        <f>Divident_all!#REF!</f>
        <v>#REF!</v>
      </c>
      <c r="O9" s="355" t="e">
        <f>Divident_all!#REF!</f>
        <v>#REF!</v>
      </c>
      <c r="P9" s="356" t="e">
        <f>Divident_all!#REF!</f>
        <v>#REF!</v>
      </c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172"/>
      <c r="B10" s="311" t="e">
        <f>Divident_all!#REF!</f>
        <v>#REF!</v>
      </c>
      <c r="C10" s="311" t="e">
        <f>Divident_all!#REF!</f>
        <v>#REF!</v>
      </c>
      <c r="D10" s="490" t="e">
        <f>Divident_all!#REF!</f>
        <v>#REF!</v>
      </c>
      <c r="E10" s="313">
        <f ca="1">IFERROR(__xludf.DUMMYFUNCTION("(((H10/GOOGLEFINANCE (""Currency:gbpRON"")*100)/D10)+F10)"),24.3032338580844)</f>
        <v>24.303233858084401</v>
      </c>
      <c r="F10" s="311" t="e">
        <f>Divident_all!#REF!</f>
        <v>#REF!</v>
      </c>
      <c r="G10" s="390">
        <f ca="1">IFERROR(__xludf.DUMMYFUNCTION("H10/GOOGLEFINANCE (""Currency:gbpRON"")"),5.30746725719953)</f>
        <v>5.3074672571995301</v>
      </c>
      <c r="H10" s="314">
        <v>30</v>
      </c>
      <c r="I10" s="315" t="e">
        <f t="shared" si="3"/>
        <v>#REF!</v>
      </c>
      <c r="J10" s="390" t="e">
        <f t="shared" ca="1" si="5"/>
        <v>#REF!</v>
      </c>
      <c r="K10" s="316">
        <f ca="1">IFERROR(__xludf.DUMMYFUNCTION("((F10*C10)/100*GOOGLEFINANCE (""Currency:gbpRON""))/100"),2.04314166889872)</f>
        <v>2.0431416688987198</v>
      </c>
      <c r="L10" s="317">
        <f ca="1">IFERROR(__xludf.DUMMYFUNCTION("(((H10/GOOGLEFINANCE (""Currency:gbpRON""))/D10)*C10)/100*GOOGLEFINANCE (""Currency:gbpRON"")"),0.422684458398744)</f>
        <v>0.42268445839874402</v>
      </c>
      <c r="M10" s="318">
        <f t="shared" ca="1" si="2"/>
        <v>0.20687966225395252</v>
      </c>
      <c r="N10" s="319" t="e">
        <f>Divident_all!#REF!</f>
        <v>#REF!</v>
      </c>
      <c r="O10" s="319" t="e">
        <f>Divident_all!#REF!</f>
        <v>#REF!</v>
      </c>
      <c r="P10" s="320" t="e">
        <f>Divident_all!#REF!</f>
        <v>#REF!</v>
      </c>
      <c r="Q10" s="240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172"/>
      <c r="B11" s="471" t="e">
        <f>Divident_all!#REF!</f>
        <v>#REF!</v>
      </c>
      <c r="C11" s="471" t="e">
        <f>Divident_all!#REF!</f>
        <v>#REF!</v>
      </c>
      <c r="D11" s="472" t="e">
        <f>Divident_all!#REF!</f>
        <v>#REF!</v>
      </c>
      <c r="E11" s="473">
        <f ca="1">IFERROR(__xludf.DUMMYFUNCTION("(((H11/GOOGLEFINANCE (""Currency:USDRON""))/D11)+F11)"),0.27776617126061)</f>
        <v>0.27776617126060998</v>
      </c>
      <c r="F11" s="471" t="e">
        <f>Divident_all!#REF!</f>
        <v>#REF!</v>
      </c>
      <c r="G11" s="472">
        <f ca="1">IFERROR(__xludf.DUMMYFUNCTION("H11/GOOGLEFINANCE (""Currency:usdRON"")"),6.70810786637449)</f>
        <v>6.7081078663744904</v>
      </c>
      <c r="H11" s="474">
        <v>30</v>
      </c>
      <c r="I11" s="475" t="e">
        <f>D11/(C11)</f>
        <v>#REF!</v>
      </c>
      <c r="J11" s="472" t="e">
        <f t="shared" ref="J11:J26" ca="1" si="6">((E11*C11)/100)</f>
        <v>#REF!</v>
      </c>
      <c r="K11" s="476">
        <f ca="1">IFERROR(__xludf.DUMMYFUNCTION("(F11*C11)/100*GOOGLEFINANCE (""Currency:usdRON"")"),1.65934524932079)</f>
        <v>1.6593452493207901</v>
      </c>
      <c r="L11" s="477">
        <f ca="1">IFERROR(__xludf.DUMMYFUNCTION("(((H11/GOOGLEFINANCE (""Currency:usdRON""))/D11)*C11)/100*GOOGLEFINANCE (""Currency:usdRON"")"),0.402749696724625)</f>
        <v>0.40274969672462502</v>
      </c>
      <c r="M11" s="373">
        <f t="shared" ca="1" si="2"/>
        <v>0.24271603326039604</v>
      </c>
      <c r="N11" s="478" t="e">
        <f>Divident_all!#REF!</f>
        <v>#REF!</v>
      </c>
      <c r="O11" s="478" t="e">
        <f>Divident_all!#REF!</f>
        <v>#REF!</v>
      </c>
      <c r="P11" s="479" t="e">
        <f>Divident_all!#REF!</f>
        <v>#REF!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172"/>
      <c r="B12" s="339" t="e">
        <f>Divident_all!#REF!</f>
        <v>#REF!</v>
      </c>
      <c r="C12" s="339" t="e">
        <f>Divident_all!#REF!</f>
        <v>#REF!</v>
      </c>
      <c r="D12" s="340" t="e">
        <f>Divident_all!#REF!</f>
        <v>#REF!</v>
      </c>
      <c r="E12" s="341">
        <f ca="1">IFERROR(__xludf.DUMMYFUNCTION("(((H12/GOOGLEFINANCE (""Currency:USDRON""))/D12)+F12)"),1.33590717007798)</f>
        <v>1.3359071700779801</v>
      </c>
      <c r="F12" s="339" t="e">
        <f>Divident_all!#REF!</f>
        <v>#REF!</v>
      </c>
      <c r="G12" s="340">
        <f ca="1">IFERROR(__xludf.DUMMYFUNCTION("H12/GOOGLEFINANCE (""Currency:USDRON"")"),6.70810786637449)</f>
        <v>6.7081078663744904</v>
      </c>
      <c r="H12" s="342">
        <v>30</v>
      </c>
      <c r="I12" s="343" t="e">
        <f t="shared" ref="I12:I14" si="7">D12/C12</f>
        <v>#REF!</v>
      </c>
      <c r="J12" s="340" t="e">
        <f t="shared" ca="1" si="6"/>
        <v>#REF!</v>
      </c>
      <c r="K12" s="344">
        <f ca="1">IFERROR(__xludf.DUMMYFUNCTION("(F12*C12)/100*GOOGLEFINANCE (""Currency:USDRON"")"),1.43688297684)</f>
        <v>1.43688297684</v>
      </c>
      <c r="L12" s="345">
        <f ca="1">IFERROR(__xludf.DUMMYFUNCTION("(((H12/GOOGLEFINANCE (""Currency:USDRON""))/D12)*C12)/100*GOOGLEFINANCE (""Currency:USDRON"")"),0.355450236966824)</f>
        <v>0.35545023696682398</v>
      </c>
      <c r="M12" s="346">
        <f t="shared" ca="1" si="2"/>
        <v>0.24737591209308629</v>
      </c>
      <c r="N12" s="347" t="e">
        <f>Divident_all!#REF!</f>
        <v>#REF!</v>
      </c>
      <c r="O12" s="347" t="e">
        <f>Divident_all!#REF!</f>
        <v>#REF!</v>
      </c>
      <c r="P12" s="348" t="e">
        <f>Divident_all!#REF!</f>
        <v>#REF!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172"/>
      <c r="B13" s="311" t="e">
        <f>Divident_all!#REF!</f>
        <v>#REF!</v>
      </c>
      <c r="C13" s="311" t="e">
        <f>Divident_all!#REF!</f>
        <v>#REF!</v>
      </c>
      <c r="D13" s="312" t="e">
        <f>Divident_all!#REF!</f>
        <v>#REF!</v>
      </c>
      <c r="E13" s="313">
        <f ca="1">IFERROR(__xludf.DUMMYFUNCTION("(((H13/GOOGLEFINANCE (""Currency:USDRON""))/D13)+F13)"),0.958877442132359)</f>
        <v>0.95887744213235904</v>
      </c>
      <c r="F13" s="311" t="e">
        <f>Divident_all!#REF!</f>
        <v>#REF!</v>
      </c>
      <c r="G13" s="312">
        <f ca="1">IFERROR(__xludf.DUMMYFUNCTION("H13/GOOGLEFINANCE (""Currency:USDRON"")"),6.70810786637449)</f>
        <v>6.7081078663744904</v>
      </c>
      <c r="H13" s="314">
        <v>30</v>
      </c>
      <c r="I13" s="315" t="e">
        <f t="shared" si="7"/>
        <v>#REF!</v>
      </c>
      <c r="J13" s="312" t="e">
        <f t="shared" ca="1" si="6"/>
        <v>#REF!</v>
      </c>
      <c r="K13" s="316">
        <f ca="1">IFERROR(__xludf.DUMMYFUNCTION("(F13*C13)/100*GOOGLEFINANCE (""Currency:USDRON"")"),1.38029479555823)</f>
        <v>1.3802947955582301</v>
      </c>
      <c r="L13" s="317">
        <f ca="1">IFERROR(__xludf.DUMMYFUNCTION("(((H13/GOOGLEFINANCE (""Currency:USDRON""))/D13)*C13)/100*GOOGLEFINANCE (""Currency:USDRON"")"),0.320441691354699)</f>
        <v>0.32044169135469902</v>
      </c>
      <c r="M13" s="318">
        <f t="shared" ca="1" si="2"/>
        <v>0.23215453132611674</v>
      </c>
      <c r="N13" s="319" t="e">
        <f>Divident_all!#REF!</f>
        <v>#REF!</v>
      </c>
      <c r="O13" s="319" t="e">
        <f>Divident_all!#REF!</f>
        <v>#REF!</v>
      </c>
      <c r="P13" s="320" t="e">
        <f>Divident_all!#REF!</f>
        <v>#REF!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172"/>
      <c r="B14" s="400" t="e">
        <f>Divident_all!#REF!</f>
        <v>#REF!</v>
      </c>
      <c r="C14" s="400" t="e">
        <f>Divident_all!#REF!</f>
        <v>#REF!</v>
      </c>
      <c r="D14" s="401" t="e">
        <f>Divident_all!#REF!</f>
        <v>#REF!</v>
      </c>
      <c r="E14" s="402">
        <f ca="1">IFERROR(__xludf.DUMMYFUNCTION("(((H14/GOOGLEFINANCE (""Currency:USDRON""))/D14)+F14)"),0.335514362906345)</f>
        <v>0.33551436290634501</v>
      </c>
      <c r="F14" s="400" t="e">
        <f>Divident_all!#REF!</f>
        <v>#REF!</v>
      </c>
      <c r="G14" s="401">
        <f ca="1">IFERROR(__xludf.DUMMYFUNCTION("H14/GOOGLEFINANCE (""Currency:USDRON"")"),6.70810786637449)</f>
        <v>6.7081078663744904</v>
      </c>
      <c r="H14" s="403">
        <v>30</v>
      </c>
      <c r="I14" s="404" t="e">
        <f t="shared" si="7"/>
        <v>#REF!</v>
      </c>
      <c r="J14" s="401" t="e">
        <f t="shared" ca="1" si="6"/>
        <v>#REF!</v>
      </c>
      <c r="K14" s="499">
        <f ca="1">IFERROR(__xludf.DUMMYFUNCTION("(F14*C14)/100*GOOGLEFINANCE (""Currency:USDRON"")"),1.2045477414732)</f>
        <v>1.2045477414732</v>
      </c>
      <c r="L14" s="405">
        <f ca="1">IFERROR(__xludf.DUMMYFUNCTION("(((H14/GOOGLEFINANCE (""Currency:USDRON""))/D14)*C14)/100*GOOGLEFINANCE (""Currency:USDRON"")"),0.303442028985507)</f>
        <v>0.30344202898550698</v>
      </c>
      <c r="M14" s="397">
        <f t="shared" ca="1" si="2"/>
        <v>0.25191365899236817</v>
      </c>
      <c r="N14" s="406" t="e">
        <f>Divident_all!#REF!</f>
        <v>#REF!</v>
      </c>
      <c r="O14" s="406" t="e">
        <f>Divident_all!#REF!</f>
        <v>#REF!</v>
      </c>
      <c r="P14" s="407" t="e">
        <f>Divident_all!#REF!</f>
        <v>#REF!</v>
      </c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</row>
    <row r="15" spans="1:33" ht="12.75">
      <c r="A15" s="172"/>
      <c r="B15" s="491" t="e">
        <f>Divident_all!#REF!</f>
        <v>#REF!</v>
      </c>
      <c r="C15" s="491" t="e">
        <f>Divident_all!#REF!</f>
        <v>#REF!</v>
      </c>
      <c r="D15" s="492" t="e">
        <f>Divident_all!#REF!</f>
        <v>#REF!</v>
      </c>
      <c r="E15" s="493">
        <f ca="1">IFERROR(__xludf.DUMMYFUNCTION("(((H15/GOOGLEFINANCE (""Currency:USDRON""))/D15)+F15)"),0.759522835967121)</f>
        <v>0.759522835967121</v>
      </c>
      <c r="F15" s="491" t="e">
        <f>Divident_all!#REF!</f>
        <v>#REF!</v>
      </c>
      <c r="G15" s="492">
        <f ca="1">IFERROR(__xludf.DUMMYFUNCTION("H15/GOOGLEFINANCE (""Currency:USDRON"")"),6.70810786637449)</f>
        <v>6.7081078663744904</v>
      </c>
      <c r="H15" s="411">
        <v>30</v>
      </c>
      <c r="I15" s="494" t="e">
        <f>D15/(C15)</f>
        <v>#REF!</v>
      </c>
      <c r="J15" s="492" t="e">
        <f t="shared" ca="1" si="6"/>
        <v>#REF!</v>
      </c>
      <c r="K15" s="495">
        <f ca="1">IFERROR(__xludf.DUMMYFUNCTION("(F15*C15)/100*GOOGLEFINANCE (""Currency:USDRON"")"),1.07309906808199)</f>
        <v>1.0730990680819901</v>
      </c>
      <c r="L15" s="496">
        <f ca="1">IFERROR(__xludf.DUMMYFUNCTION("(((H15/GOOGLEFINANCE (""Currency:USDRON""))/D15)*C15)/100*GOOGLEFINANCE (""Currency:USDRON"")"),0.319563522992985)</f>
        <v>0.31956352299298502</v>
      </c>
      <c r="M15" s="415">
        <f t="shared" ca="1" si="2"/>
        <v>0.29779498696626283</v>
      </c>
      <c r="N15" s="497" t="e">
        <f>Divident_all!#REF!</f>
        <v>#REF!</v>
      </c>
      <c r="O15" s="497" t="e">
        <f>Divident_all!#REF!</f>
        <v>#REF!</v>
      </c>
      <c r="P15" s="498" t="e">
        <f>Divident_all!#REF!</f>
        <v>#REF!</v>
      </c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172"/>
      <c r="B16" s="400" t="e">
        <f>Divident_all!#REF!</f>
        <v>#REF!</v>
      </c>
      <c r="C16" s="400" t="e">
        <f>Divident_all!#REF!</f>
        <v>#REF!</v>
      </c>
      <c r="D16" s="401" t="e">
        <f>Divident_all!#REF!</f>
        <v>#REF!</v>
      </c>
      <c r="E16" s="402">
        <f ca="1">IFERROR(__xludf.DUMMYFUNCTION("(((H16/GOOGLEFINANCE (""Currency:USDRON""))/D16)+F16)"),0.454773207214377)</f>
        <v>0.45477320721437697</v>
      </c>
      <c r="F16" s="400" t="e">
        <f>Divident_all!#REF!</f>
        <v>#REF!</v>
      </c>
      <c r="G16" s="401">
        <f ca="1">IFERROR(__xludf.DUMMYFUNCTION("H16/GOOGLEFINANCE (""Currency:USDRON"")"),5.59008988864541)</f>
        <v>5.5900898886454096</v>
      </c>
      <c r="H16" s="403">
        <v>25</v>
      </c>
      <c r="I16" s="404" t="e">
        <f t="shared" ref="I16:I26" si="8">D16/C16</f>
        <v>#REF!</v>
      </c>
      <c r="J16" s="401" t="e">
        <f t="shared" ca="1" si="6"/>
        <v>#REF!</v>
      </c>
      <c r="K16" s="499">
        <f ca="1">IFERROR(__xludf.DUMMYFUNCTION("(F16*C16)/100*GOOGLEFINANCE (""Currency:USDRON"")"),1.19016556666)</f>
        <v>1.19016556666</v>
      </c>
      <c r="L16" s="405">
        <f ca="1">IFERROR(__xludf.DUMMYFUNCTION("(((H16/GOOGLEFINANCE (""Currency:USDRON""))/D16)*C16)/100*GOOGLEFINANCE (""Currency:USDRON"")"),0.233520149452895)</f>
        <v>0.23352014945289501</v>
      </c>
      <c r="M16" s="397">
        <f t="shared" ca="1" si="2"/>
        <v>0.19620812094928114</v>
      </c>
      <c r="N16" s="406" t="e">
        <f>Divident_all!#REF!</f>
        <v>#REF!</v>
      </c>
      <c r="O16" s="406" t="e">
        <f>Divident_all!#REF!</f>
        <v>#REF!</v>
      </c>
      <c r="P16" s="407" t="e">
        <f>Divident_all!#REF!</f>
        <v>#REF!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172"/>
      <c r="B17" s="311" t="e">
        <f>Divident_all!#REF!</f>
        <v>#REF!</v>
      </c>
      <c r="C17" s="311" t="e">
        <f>Divident_all!#REF!</f>
        <v>#REF!</v>
      </c>
      <c r="D17" s="312" t="e">
        <f>Divident_all!#REF!</f>
        <v>#REF!</v>
      </c>
      <c r="E17" s="313">
        <f ca="1">IFERROR(__xludf.DUMMYFUNCTION("(((H17/GOOGLEFINANCE (""Currency:USDRON""))/D17)+F17)"),0.175548765705295)</f>
        <v>0.17554876570529501</v>
      </c>
      <c r="F17" s="311" t="e">
        <f>Divident_all!#REF!</f>
        <v>#REF!</v>
      </c>
      <c r="G17" s="312">
        <f ca="1">IFERROR(__xludf.DUMMYFUNCTION("H17/GOOGLEFINANCE (""Currency:USDRON"")"),5.59008988864541)</f>
        <v>5.5900898886454096</v>
      </c>
      <c r="H17" s="314">
        <v>25</v>
      </c>
      <c r="I17" s="315" t="e">
        <f t="shared" si="8"/>
        <v>#REF!</v>
      </c>
      <c r="J17" s="312" t="e">
        <f t="shared" ca="1" si="6"/>
        <v>#REF!</v>
      </c>
      <c r="K17" s="316">
        <f ca="1">IFERROR(__xludf.DUMMYFUNCTION("(F17*C17)/100*GOOGLEFINANCE (""Currency:USDRON"")"),0.949856438943)</f>
        <v>0.94985643894299998</v>
      </c>
      <c r="L17" s="317">
        <f ca="1">IFERROR(__xludf.DUMMYFUNCTION("(((H17/GOOGLEFINANCE (""Currency:USDRON""))/D17)*C17)/100*GOOGLEFINANCE (""Currency:USDRON"")"),0.235628237937706)</f>
        <v>0.23562823793770599</v>
      </c>
      <c r="M17" s="318">
        <f t="shared" ca="1" si="2"/>
        <v>0.24806721129343823</v>
      </c>
      <c r="N17" s="319" t="e">
        <f>Divident_all!#REF!</f>
        <v>#REF!</v>
      </c>
      <c r="O17" s="319" t="e">
        <f>Divident_all!#REF!</f>
        <v>#REF!</v>
      </c>
      <c r="P17" s="320" t="e">
        <f>Divident_all!#REF!</f>
        <v>#REF!</v>
      </c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172"/>
      <c r="B18" s="301" t="e">
        <f>Divident_all!#REF!</f>
        <v>#REF!</v>
      </c>
      <c r="C18" s="301" t="e">
        <f>Divident_all!#REF!</f>
        <v>#REF!</v>
      </c>
      <c r="D18" s="302" t="e">
        <f>Divident_all!#REF!</f>
        <v>#REF!</v>
      </c>
      <c r="E18" s="303">
        <f ca="1">IFERROR(__xludf.DUMMYFUNCTION("(((H18/GOOGLEFINANCE (""Currency:USDRON""))/D18)+F18)"),0.519458770720396)</f>
        <v>0.51945877072039603</v>
      </c>
      <c r="F18" s="301" t="e">
        <f>Divident_all!#REF!</f>
        <v>#REF!</v>
      </c>
      <c r="G18" s="302">
        <f ca="1">IFERROR(__xludf.DUMMYFUNCTION("H18/GOOGLEFINANCE (""Currency:USDRON"")"),5.59008988864541)</f>
        <v>5.5900898886454096</v>
      </c>
      <c r="H18" s="304">
        <v>25</v>
      </c>
      <c r="I18" s="305" t="e">
        <f t="shared" si="8"/>
        <v>#REF!</v>
      </c>
      <c r="J18" s="302" t="e">
        <f t="shared" ca="1" si="6"/>
        <v>#REF!</v>
      </c>
      <c r="K18" s="306">
        <f ca="1">IFERROR(__xludf.DUMMYFUNCTION("(F18*C18)/100*GOOGLEFINANCE (""Currency:USDRON"")"),0.548492208726)</f>
        <v>0.54849220872600002</v>
      </c>
      <c r="L18" s="307">
        <f ca="1">IFERROR(__xludf.DUMMYFUNCTION("(((H18/GOOGLEFINANCE (""Currency:USDRON""))/D18)*C18)/100*GOOGLEFINANCE (""Currency:USDRON"")"),0.2181385510312)</f>
        <v>0.2181385510312</v>
      </c>
      <c r="M18" s="308">
        <f t="shared" ca="1" si="2"/>
        <v>0.39770583348463096</v>
      </c>
      <c r="N18" s="309" t="e">
        <f>Divident_all!#REF!</f>
        <v>#REF!</v>
      </c>
      <c r="O18" s="309" t="e">
        <f>Divident_all!#REF!</f>
        <v>#REF!</v>
      </c>
      <c r="P18" s="310" t="e">
        <f>Divident_all!#REF!</f>
        <v>#REF!</v>
      </c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172"/>
      <c r="B19" s="280" t="e">
        <f>Divident_all!#REF!</f>
        <v>#REF!</v>
      </c>
      <c r="C19" s="280" t="e">
        <f>Divident_all!#REF!</f>
        <v>#REF!</v>
      </c>
      <c r="D19" s="281" t="e">
        <f>Divident_all!#REF!</f>
        <v>#REF!</v>
      </c>
      <c r="E19" s="282">
        <f ca="1">IFERROR(__xludf.DUMMYFUNCTION("(((H19/GOOGLEFINANCE (""Currency:USDRON""))/D19)+F19)"),1.94928242526348)</f>
        <v>1.9492824252634799</v>
      </c>
      <c r="F19" s="280" t="e">
        <f>Divident_all!#REF!</f>
        <v>#REF!</v>
      </c>
      <c r="G19" s="281">
        <f ca="1">IFERROR(__xludf.DUMMYFUNCTION("H19/GOOGLEFINANCE (""Currency:USDRON"")"),5.59008988864541)</f>
        <v>5.5900898886454096</v>
      </c>
      <c r="H19" s="283">
        <v>25</v>
      </c>
      <c r="I19" s="284" t="e">
        <f t="shared" si="8"/>
        <v>#REF!</v>
      </c>
      <c r="J19" s="281" t="e">
        <f t="shared" ca="1" si="6"/>
        <v>#REF!</v>
      </c>
      <c r="K19" s="330">
        <f ca="1">IFERROR(__xludf.DUMMYFUNCTION("(F19*C19)/100*GOOGLEFINANCE (""Currency:USDRON"")"),2.234805186295)</f>
        <v>2.234805186295</v>
      </c>
      <c r="L19" s="286">
        <f ca="1">IFERROR(__xludf.DUMMYFUNCTION("(((H19/GOOGLEFINANCE (""Currency:USDRON""))/D19)*C19)/100*GOOGLEFINANCE (""Currency:USDRON"")"),0.162529550827423)</f>
        <v>0.16252955082742301</v>
      </c>
      <c r="M19" s="469">
        <f t="shared" ca="1" si="2"/>
        <v>7.2726496172525301E-2</v>
      </c>
      <c r="N19" s="288" t="e">
        <f>Divident_all!#REF!</f>
        <v>#REF!</v>
      </c>
      <c r="O19" s="288" t="e">
        <f>Divident_all!#REF!</f>
        <v>#REF!</v>
      </c>
      <c r="P19" s="289" t="e">
        <f>Divident_all!#REF!</f>
        <v>#REF!</v>
      </c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172"/>
      <c r="B20" s="418" t="e">
        <f>Divident_all!#REF!</f>
        <v>#REF!</v>
      </c>
      <c r="C20" s="418" t="e">
        <f>Divident_all!#REF!</f>
        <v>#REF!</v>
      </c>
      <c r="D20" s="419" t="e">
        <f>Divident_all!#REF!</f>
        <v>#REF!</v>
      </c>
      <c r="E20" s="420">
        <f ca="1">IFERROR(__xludf.DUMMYFUNCTION("(((H20/GOOGLEFINANCE (""Currency:USDRON""))/D20)+F20)"),0.112930091150478)</f>
        <v>0.112930091150478</v>
      </c>
      <c r="F20" s="418" t="e">
        <f>Divident_all!#REF!</f>
        <v>#REF!</v>
      </c>
      <c r="G20" s="419">
        <f ca="1">IFERROR(__xludf.DUMMYFUNCTION("H20/GOOGLEFINANCE (""Currency:USDRON"")"),5.59008988864541)</f>
        <v>5.5900898886454096</v>
      </c>
      <c r="H20" s="421">
        <v>25</v>
      </c>
      <c r="I20" s="422" t="e">
        <f t="shared" si="8"/>
        <v>#REF!</v>
      </c>
      <c r="J20" s="419" t="e">
        <f t="shared" ca="1" si="6"/>
        <v>#REF!</v>
      </c>
      <c r="K20" s="483">
        <f ca="1">IFERROR(__xludf.DUMMYFUNCTION("(F20*C20)/100*GOOGLEFINANCE (""Currency:USDRON"")"),0.619541106491799)</f>
        <v>0.61954110649179905</v>
      </c>
      <c r="L20" s="424">
        <f ca="1">IFERROR(__xludf.DUMMYFUNCTION("(((H20/GOOGLEFINANCE (""Currency:USDRON""))/D20)*C20)/100*GOOGLEFINANCE (""Currency:USDRON"")"),0.173381040727979)</f>
        <v>0.173381040727979</v>
      </c>
      <c r="M20" s="425">
        <f t="shared" ca="1" si="2"/>
        <v>0.27985397403210738</v>
      </c>
      <c r="N20" s="426" t="e">
        <f>Divident_all!#REF!</f>
        <v>#REF!</v>
      </c>
      <c r="O20" s="426" t="e">
        <f>Divident_all!#REF!</f>
        <v>#REF!</v>
      </c>
      <c r="P20" s="427" t="e">
        <f>Divident_all!#REF!</f>
        <v>#REF!</v>
      </c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172"/>
      <c r="B21" s="418" t="e">
        <f>Divident_all!#REF!</f>
        <v>#REF!</v>
      </c>
      <c r="C21" s="418" t="e">
        <f>Divident_all!#REF!</f>
        <v>#REF!</v>
      </c>
      <c r="D21" s="419" t="e">
        <f>Divident_all!#REF!</f>
        <v>#REF!</v>
      </c>
      <c r="E21" s="420">
        <f ca="1">IFERROR(__xludf.DUMMYFUNCTION("(((H21/GOOGLEFINANCE (""Currency:USDRON""))/D21)+F21)"),0.297204634015596)</f>
        <v>0.29720463401559599</v>
      </c>
      <c r="F21" s="418" t="e">
        <f>Divident_all!#REF!</f>
        <v>#REF!</v>
      </c>
      <c r="G21" s="419">
        <f ca="1">IFERROR(__xludf.DUMMYFUNCTION("H21/GOOGLEFINANCE (""Currency:USDRON"")"),4.47207191091632)</f>
        <v>4.4720719109163198</v>
      </c>
      <c r="H21" s="421">
        <v>20</v>
      </c>
      <c r="I21" s="422" t="e">
        <f t="shared" si="8"/>
        <v>#REF!</v>
      </c>
      <c r="J21" s="419" t="e">
        <f t="shared" ca="1" si="6"/>
        <v>#REF!</v>
      </c>
      <c r="K21" s="423">
        <f ca="1">IFERROR(__xludf.DUMMYFUNCTION("(F21*C21)/100*GOOGLEFINANCE (""Currency:USDRON"")"),0.567939704591999)</f>
        <v>0.56793970459199905</v>
      </c>
      <c r="L21" s="424">
        <f ca="1">IFERROR(__xludf.DUMMYFUNCTION("(((H21/GOOGLEFINANCE (""Currency:USDRON""))/D21)*C21)/100*GOOGLEFINANCE (""Currency:USDRON"")"),0.123222748815165)</f>
        <v>0.123222748815165</v>
      </c>
      <c r="M21" s="500">
        <f t="shared" ca="1" si="2"/>
        <v>0.21696449080573918</v>
      </c>
      <c r="N21" s="426" t="e">
        <f>Divident_all!#REF!</f>
        <v>#REF!</v>
      </c>
      <c r="O21" s="426" t="e">
        <f>Divident_all!#REF!</f>
        <v>#REF!</v>
      </c>
      <c r="P21" s="427" t="e">
        <f>Divident_all!#REF!</f>
        <v>#REF!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172"/>
      <c r="B22" s="391" t="e">
        <f>Divident_all!#REF!</f>
        <v>#REF!</v>
      </c>
      <c r="C22" s="391" t="e">
        <f>Divident_all!#REF!</f>
        <v>#REF!</v>
      </c>
      <c r="D22" s="392" t="e">
        <f>Divident_all!#REF!</f>
        <v>#REF!</v>
      </c>
      <c r="E22" s="393">
        <f ca="1">IFERROR(__xludf.DUMMYFUNCTION("(((H22/GOOGLEFINANCE (""Currency:USDRON""))/D22)+F22)"),0.21843440331412)</f>
        <v>0.21843440331412001</v>
      </c>
      <c r="F22" s="391" t="e">
        <f>Divident_all!#REF!</f>
        <v>#REF!</v>
      </c>
      <c r="G22" s="392">
        <f ca="1">IFERROR(__xludf.DUMMYFUNCTION("H22/GOOGLEFINANCE (""Currency:USDRON"")"),3.35405393318724)</f>
        <v>3.3540539331872399</v>
      </c>
      <c r="H22" s="100">
        <v>15</v>
      </c>
      <c r="I22" s="394" t="e">
        <f t="shared" si="8"/>
        <v>#REF!</v>
      </c>
      <c r="J22" s="392" t="e">
        <f t="shared" ca="1" si="6"/>
        <v>#REF!</v>
      </c>
      <c r="K22" s="395">
        <f ca="1">IFERROR(__xludf.DUMMYFUNCTION("(F22*C22)/100*GOOGLEFINANCE (""Currency:USDRON"")"),0.322702234835999)</f>
        <v>0.32270223483599902</v>
      </c>
      <c r="L22" s="396">
        <f ca="1">IFERROR(__xludf.DUMMYFUNCTION("(((H22/GOOGLEFINANCE (""Currency:USDRON""))/D22)*C22)/100*GOOGLEFINANCE (""Currency:USDRON"")"),0.0656084947183098)</f>
        <v>6.5608494718309804E-2</v>
      </c>
      <c r="M22" s="501">
        <f t="shared" ca="1" si="2"/>
        <v>0.20330970050967509</v>
      </c>
      <c r="N22" s="398" t="e">
        <f>Divident_all!#REF!</f>
        <v>#REF!</v>
      </c>
      <c r="O22" s="398" t="e">
        <f>Divident_all!#REF!</f>
        <v>#REF!</v>
      </c>
      <c r="P22" s="399" t="e">
        <f>Divident_all!#REF!</f>
        <v>#REF!</v>
      </c>
      <c r="Q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172"/>
      <c r="B23" s="280" t="e">
        <f>Divident_all!#REF!</f>
        <v>#REF!</v>
      </c>
      <c r="C23" s="280" t="e">
        <f>Divident_all!#REF!</f>
        <v>#REF!</v>
      </c>
      <c r="D23" s="281" t="e">
        <f>Divident_all!#REF!</f>
        <v>#REF!</v>
      </c>
      <c r="E23" s="282">
        <f ca="1">IFERROR(__xludf.DUMMYFUNCTION("(((H23/GOOGLEFINANCE (""Currency:USDRON""))/D23)+F23)"),0.984602238017271)</f>
        <v>0.98460223801727098</v>
      </c>
      <c r="F23" s="280" t="e">
        <f>Divident_all!#REF!</f>
        <v>#REF!</v>
      </c>
      <c r="G23" s="281">
        <f ca="1">IFERROR(__xludf.DUMMYFUNCTION("H23/GOOGLEFINANCE (""Currency:USDRON"")"),3.35405393318724)</f>
        <v>3.3540539331872399</v>
      </c>
      <c r="H23" s="283">
        <v>15</v>
      </c>
      <c r="I23" s="284" t="e">
        <f t="shared" si="8"/>
        <v>#REF!</v>
      </c>
      <c r="J23" s="281" t="e">
        <f t="shared" ca="1" si="6"/>
        <v>#REF!</v>
      </c>
      <c r="K23" s="330">
        <f ca="1">IFERROR(__xludf.DUMMYFUNCTION("(F23*C23)/100*GOOGLEFINANCE (""Currency:USDRON"")"),1.062088712931)</f>
        <v>1.0620887129309999</v>
      </c>
      <c r="L23" s="286">
        <f ca="1">IFERROR(__xludf.DUMMYFUNCTION("(((H23/GOOGLEFINANCE (""Currency:USDRON""))/D23)*C23)/100*GOOGLEFINANCE (""Currency:USDRON"")"),0.0607625099285146)</f>
        <v>6.0762509928514598E-2</v>
      </c>
      <c r="M23" s="469">
        <f t="shared" ca="1" si="2"/>
        <v>5.721039042099501E-2</v>
      </c>
      <c r="N23" s="288" t="e">
        <f>Divident_all!#REF!</f>
        <v>#REF!</v>
      </c>
      <c r="O23" s="288" t="e">
        <f>Divident_all!#REF!</f>
        <v>#REF!</v>
      </c>
      <c r="P23" s="289" t="e">
        <f>Divident_all!#REF!</f>
        <v>#REF!</v>
      </c>
      <c r="Q23" s="172"/>
      <c r="R23" s="290"/>
    </row>
    <row r="24" spans="1:33" ht="12.75">
      <c r="A24" s="172"/>
      <c r="B24" s="418" t="e">
        <f>Divident_all!#REF!</f>
        <v>#REF!</v>
      </c>
      <c r="C24" s="418" t="e">
        <f>Divident_all!#REF!</f>
        <v>#REF!</v>
      </c>
      <c r="D24" s="419" t="e">
        <f>Divident_all!#REF!</f>
        <v>#REF!</v>
      </c>
      <c r="E24" s="420">
        <f ca="1">IFERROR(__xludf.DUMMYFUNCTION("(((H24/GOOGLEFINANCE (""Currency:USDRON""))/D24)+F24)"),0.0637179681163733)</f>
        <v>6.37179681163733E-2</v>
      </c>
      <c r="F24" s="418" t="e">
        <f>Divident_all!#REF!</f>
        <v>#REF!</v>
      </c>
      <c r="G24" s="419">
        <f ca="1">IFERROR(__xludf.DUMMYFUNCTION("H24/GOOGLEFINANCE (""Currency:USDRON"")"),3.35405393318724)</f>
        <v>3.3540539331872399</v>
      </c>
      <c r="H24" s="421">
        <v>15</v>
      </c>
      <c r="I24" s="422" t="e">
        <f t="shared" si="8"/>
        <v>#REF!</v>
      </c>
      <c r="J24" s="419" t="e">
        <f t="shared" ca="1" si="6"/>
        <v>#REF!</v>
      </c>
      <c r="K24" s="423">
        <f ca="1">IFERROR(__xludf.DUMMYFUNCTION("(F24*C24)/100*GOOGLEFINANCE (""Currency:USDRON"")"),0.355133394908799)</f>
        <v>0.35513339490879903</v>
      </c>
      <c r="L24" s="424">
        <f ca="1">IFERROR(__xludf.DUMMYFUNCTION("(((H24/GOOGLEFINANCE (""Currency:USDRON""))/D24)*C24)/100*GOOGLEFINANCE (""Currency:USDRON"")"),0.0666066606660666)</f>
        <v>6.6606660666066603E-2</v>
      </c>
      <c r="M24" s="500">
        <f t="shared" ca="1" si="2"/>
        <v>0.18755392092363407</v>
      </c>
      <c r="N24" s="426" t="e">
        <f>Divident_all!#REF!</f>
        <v>#REF!</v>
      </c>
      <c r="O24" s="426" t="e">
        <f>Divident_all!#REF!</f>
        <v>#REF!</v>
      </c>
      <c r="P24" s="427" t="e">
        <f>Divident_all!#REF!</f>
        <v>#REF!</v>
      </c>
      <c r="Q24" s="172"/>
      <c r="R24" s="290"/>
    </row>
    <row r="25" spans="1:33" ht="12.75">
      <c r="A25" s="172"/>
      <c r="B25" s="366" t="e">
        <f>Divident_all!#REF!</f>
        <v>#REF!</v>
      </c>
      <c r="C25" s="366" t="e">
        <f>Divident_all!#REF!</f>
        <v>#REF!</v>
      </c>
      <c r="D25" s="367" t="e">
        <f>Divident_all!#REF!</f>
        <v>#REF!</v>
      </c>
      <c r="E25" s="368">
        <f ca="1">IFERROR(__xludf.DUMMYFUNCTION("(((H25/GOOGLEFINANCE (""Currency:USDRON""))/D25)+F25)"),0.110733220606403)</f>
        <v>0.110733220606403</v>
      </c>
      <c r="F25" s="366" t="e">
        <f>Divident_all!#REF!</f>
        <v>#REF!</v>
      </c>
      <c r="G25" s="367">
        <f ca="1">IFERROR(__xludf.DUMMYFUNCTION("H25/GOOGLEFINANCE (""Currency:usdRON"")"),3.35405393318724)</f>
        <v>3.3540539331872399</v>
      </c>
      <c r="H25" s="369">
        <v>15</v>
      </c>
      <c r="I25" s="370" t="e">
        <f t="shared" si="8"/>
        <v>#REF!</v>
      </c>
      <c r="J25" s="367" t="e">
        <f t="shared" ca="1" si="6"/>
        <v>#REF!</v>
      </c>
      <c r="K25" s="371">
        <f ca="1">IFERROR(__xludf.DUMMYFUNCTION("(F25*C25)/100*GOOGLEFINANCE (""Currency:usdRON"")"),0.300406153291199)</f>
        <v>0.30040615329119902</v>
      </c>
      <c r="L25" s="372">
        <f ca="1">IFERROR(__xludf.DUMMYFUNCTION("(((H25/GOOGLEFINANCE (""Currency:usdRON""))/D25)*C25)/100*GOOGLEFINANCE (""Currency:usdRON"")"),0.0363442009620523)</f>
        <v>3.6344200962052299E-2</v>
      </c>
      <c r="M25" s="480">
        <f t="shared" ca="1" si="2"/>
        <v>0.12098354365871464</v>
      </c>
      <c r="N25" s="374" t="e">
        <f>Divident_all!#REF!</f>
        <v>#REF!</v>
      </c>
      <c r="O25" s="374" t="e">
        <f>Divident_all!#REF!</f>
        <v>#REF!</v>
      </c>
      <c r="P25" s="375" t="e">
        <f>Divident_all!#REF!</f>
        <v>#REF!</v>
      </c>
      <c r="Q25" s="172"/>
      <c r="R25" s="290"/>
    </row>
    <row r="26" spans="1:33" ht="12.75">
      <c r="A26" s="172"/>
      <c r="B26" s="366" t="e">
        <f>Divident_all!#REF!</f>
        <v>#REF!</v>
      </c>
      <c r="C26" s="366" t="e">
        <f>Divident_all!#REF!</f>
        <v>#REF!</v>
      </c>
      <c r="D26" s="367" t="e">
        <f>Divident_all!#REF!</f>
        <v>#REF!</v>
      </c>
      <c r="E26" s="368">
        <f ca="1">IFERROR(__xludf.DUMMYFUNCTION("(((H26/GOOGLEFINANCE (""Currency:USDRON""))/D26)+F26)"),0.126117026560968)</f>
        <v>0.12611702656096799</v>
      </c>
      <c r="F26" s="366" t="e">
        <f>Divident_all!#REF!</f>
        <v>#REF!</v>
      </c>
      <c r="G26" s="367">
        <f ca="1">IFERROR(__xludf.DUMMYFUNCTION("H26/GOOGLEFINANCE (""Currency:USDRON"")"),3.35405393318724)</f>
        <v>3.3540539331872399</v>
      </c>
      <c r="H26" s="369">
        <v>15</v>
      </c>
      <c r="I26" s="370" t="e">
        <f t="shared" si="8"/>
        <v>#REF!</v>
      </c>
      <c r="J26" s="367" t="e">
        <f t="shared" ca="1" si="6"/>
        <v>#REF!</v>
      </c>
      <c r="K26" s="371">
        <f ca="1">IFERROR(__xludf.DUMMYFUNCTION("(F26*C26)/100*GOOGLEFINANCE (""Currency:USDRON"")"),0.1146240244368)</f>
        <v>0.1146240244368</v>
      </c>
      <c r="L26" s="372">
        <f ca="1">IFERROR(__xludf.DUMMYFUNCTION("(((H26/GOOGLEFINANCE (""Currency:USDRON""))/D26)*C26)/100*GOOGLEFINANCE (""Currency:USDRON"")"),0.0207409114478308)</f>
        <v>2.0740911447830801E-2</v>
      </c>
      <c r="M26" s="480">
        <f t="shared" ca="1" si="2"/>
        <v>0.18094733237417146</v>
      </c>
      <c r="N26" s="374" t="e">
        <f>Divident_all!#REF!</f>
        <v>#REF!</v>
      </c>
      <c r="O26" s="374" t="e">
        <f>Divident_all!#REF!</f>
        <v>#REF!</v>
      </c>
      <c r="P26" s="375" t="e">
        <f>Divident_all!#REF!</f>
        <v>#REF!</v>
      </c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G28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45</v>
      </c>
      <c r="L2" s="276">
        <f ca="1">((L4*4)*100)/(500+K2)</f>
        <v>4.7719715780110761</v>
      </c>
      <c r="M2" s="13">
        <v>15</v>
      </c>
      <c r="N2" s="13"/>
      <c r="O2" s="13"/>
      <c r="P2" s="13"/>
    </row>
    <row r="3" spans="1:33" ht="15.75" customHeight="1">
      <c r="A3" s="277" t="s">
        <v>11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AVERAGE(C5:C26)</f>
        <v>#REF!</v>
      </c>
      <c r="D4" s="124" t="e">
        <f t="shared" ca="1" si="0"/>
        <v>#REF!</v>
      </c>
      <c r="E4" s="278">
        <f t="shared" ca="1" si="0"/>
        <v>0.51024835780531597</v>
      </c>
      <c r="F4" s="122"/>
      <c r="G4" s="253">
        <f ca="1">SUM(G5:G26)</f>
        <v>125.21801350565714</v>
      </c>
      <c r="H4" s="122">
        <f>500+K2+M2-SUM(H5:H26)</f>
        <v>0</v>
      </c>
      <c r="I4" s="124"/>
      <c r="J4" s="124" t="e">
        <f t="shared" ref="J4:L4" ca="1" si="1">SUM(J5:J26)</f>
        <v>#REF!</v>
      </c>
      <c r="K4" s="129">
        <f t="shared" ca="1" si="1"/>
        <v>23.550812608775171</v>
      </c>
      <c r="L4" s="129">
        <f t="shared" ca="1" si="1"/>
        <v>6.501811275040092</v>
      </c>
      <c r="M4" s="123">
        <f t="shared" ref="M4:M26" ca="1" si="2">L4/K4</f>
        <v>0.27607587827425872</v>
      </c>
      <c r="N4" s="131"/>
      <c r="O4" s="131"/>
      <c r="P4" s="132"/>
    </row>
    <row r="5" spans="1:33" ht="12.75">
      <c r="A5" s="172"/>
      <c r="B5" s="291" t="str">
        <f>Divident_all!B3</f>
        <v>AMD</v>
      </c>
      <c r="C5" s="291">
        <f>Divident_all!D3</f>
        <v>62.5</v>
      </c>
      <c r="D5" s="292">
        <f ca="1">Divident_all!E3</f>
        <v>24.84</v>
      </c>
      <c r="E5" s="293">
        <f ca="1">IFERROR(__xludf.DUMMYFUNCTION("(((H5/GOOGLEFINANCE (""Currency:USDRON""))/D5)+F5)"),1.32323842689627)</f>
        <v>1.32323842689627</v>
      </c>
      <c r="F5" s="291">
        <f>Divident_all!I3</f>
        <v>1.0081769999999999</v>
      </c>
      <c r="G5" s="292">
        <f ca="1">IFERROR(__xludf.DUMMYFUNCTION("H5/GOOGLEFINANCE (""Currency:USDRON"")"),7.82612584410357)</f>
        <v>7.8261258441035704</v>
      </c>
      <c r="H5" s="294">
        <v>35</v>
      </c>
      <c r="I5" s="295">
        <f t="shared" ref="I5:I11" ca="1" si="3">D5/C5</f>
        <v>0.39744000000000002</v>
      </c>
      <c r="J5" s="292">
        <f t="shared" ref="J5:J26" ca="1" si="4">((E5*C5)/100)</f>
        <v>0.82702401681016879</v>
      </c>
      <c r="K5" s="296">
        <f ca="1">IFERROR(__xludf.DUMMYFUNCTION("(F5*C5)/100*GOOGLEFINANCE (""Currency:USDRON"")"),2.81798073712499)</f>
        <v>2.8179807371249899</v>
      </c>
      <c r="L5" s="297">
        <f ca="1">IFERROR(__xludf.DUMMYFUNCTION("(((H5/GOOGLEFINANCE (""Currency:USDRON""))/D5)*C5)/100*GOOGLEFINANCE (""Currency:USDRON"")"),0.880636070853462)</f>
        <v>0.88063607085346196</v>
      </c>
      <c r="M5" s="298">
        <f t="shared" ca="1" si="2"/>
        <v>0.31250606480437482</v>
      </c>
      <c r="N5" s="299" t="str">
        <f>Divident_all!M3</f>
        <v>Consumer Cyclical</v>
      </c>
      <c r="O5" s="299" t="str">
        <f>Divident_all!N3</f>
        <v>Auto &amp; Truck Dealerships</v>
      </c>
      <c r="P5" s="300">
        <f>Divident_all!O3</f>
        <v>12584</v>
      </c>
      <c r="R5" s="290"/>
    </row>
    <row r="6" spans="1:33" ht="12.75">
      <c r="A6" s="172"/>
      <c r="B6" s="301" t="e">
        <f>Divident_all!#REF!</f>
        <v>#REF!</v>
      </c>
      <c r="C6" s="301" t="e">
        <f>Divident_all!#REF!</f>
        <v>#REF!</v>
      </c>
      <c r="D6" s="302" t="e">
        <f>Divident_all!#REF!</f>
        <v>#REF!</v>
      </c>
      <c r="E6" s="303">
        <f ca="1">IFERROR(__xludf.DUMMYFUNCTION("(((H6/GOOGLEFINANCE (""Currency:USDRON""))/D6)+F6)"),0.713725887215754)</f>
        <v>0.71372588721575403</v>
      </c>
      <c r="F6" s="301" t="e">
        <f>Divident_all!#REF!</f>
        <v>#REF!</v>
      </c>
      <c r="G6" s="302">
        <f ca="1">IFERROR(__xludf.DUMMYFUNCTION("H6/GOOGLEFINANCE (""Currency:USDRON"")"),7.82612584410357)</f>
        <v>7.8261258441035704</v>
      </c>
      <c r="H6" s="304">
        <v>35</v>
      </c>
      <c r="I6" s="305" t="e">
        <f t="shared" si="3"/>
        <v>#REF!</v>
      </c>
      <c r="J6" s="302" t="e">
        <f t="shared" ca="1" si="4"/>
        <v>#REF!</v>
      </c>
      <c r="K6" s="306">
        <f ca="1">IFERROR(__xludf.DUMMYFUNCTION("(F6*C6)/100*GOOGLEFINANCE (""Currency:USDRON"")"),2.295761741876)</f>
        <v>2.2957617418759999</v>
      </c>
      <c r="L6" s="307">
        <f ca="1">IFERROR(__xludf.DUMMYFUNCTION("(((H6/GOOGLEFINANCE (""Currency:USDRON""))/D6)*C6)/100*GOOGLEFINANCE (""Currency:USDRON"")"),0.704647676161919)</f>
        <v>0.70464767616191903</v>
      </c>
      <c r="M6" s="308">
        <f t="shared" ca="1" si="2"/>
        <v>0.30693414883118952</v>
      </c>
      <c r="N6" s="309" t="e">
        <f>Divident_all!#REF!</f>
        <v>#REF!</v>
      </c>
      <c r="O6" s="309" t="e">
        <f>Divident_all!#REF!</f>
        <v>#REF!</v>
      </c>
      <c r="P6" s="310" t="e">
        <f>Divident_all!#REF!</f>
        <v>#REF!</v>
      </c>
      <c r="Q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</row>
    <row r="7" spans="1:33" ht="12.75">
      <c r="A7" s="172"/>
      <c r="B7" s="331" t="e">
        <f>Divident_all!#REF!</f>
        <v>#REF!</v>
      </c>
      <c r="C7" s="331" t="e">
        <f>Divident_all!#REF!</f>
        <v>#REF!</v>
      </c>
      <c r="D7" s="332" t="e">
        <f>Divident_all!#REF!</f>
        <v>#REF!</v>
      </c>
      <c r="E7" s="333">
        <f ca="1">IFERROR(__xludf.DUMMYFUNCTION("(((H7/GOOGLEFINANCE (""Currency:USDRON""))/D7)+F7)"),2.00888615295494)</f>
        <v>2.0088861529549402</v>
      </c>
      <c r="F7" s="331" t="e">
        <f>Divident_all!#REF!</f>
        <v>#REF!</v>
      </c>
      <c r="G7" s="332">
        <f ca="1">IFERROR(__xludf.DUMMYFUNCTION("H7/GOOGLEFINANCE (""Currency:USDRON"")"),6.70810786637449)</f>
        <v>6.7081078663744904</v>
      </c>
      <c r="H7" s="304">
        <v>30</v>
      </c>
      <c r="I7" s="334" t="e">
        <f t="shared" si="3"/>
        <v>#REF!</v>
      </c>
      <c r="J7" s="332" t="e">
        <f t="shared" ca="1" si="4"/>
        <v>#REF!</v>
      </c>
      <c r="K7" s="335">
        <f ca="1">IFERROR(__xludf.DUMMYFUNCTION("(F7*C7)/100*GOOGLEFINANCE (""Currency:USDRON"")"),1.38385976864399)</f>
        <v>1.38385976864399</v>
      </c>
      <c r="L7" s="336">
        <f ca="1">IFERROR(__xludf.DUMMYFUNCTION("(((H7/GOOGLEFINANCE (""Currency:USDRON""))/D7)*C7)/100*GOOGLEFINANCE (""Currency:USDRON"")"),0.682492581602373)</f>
        <v>0.68249258160237303</v>
      </c>
      <c r="M7" s="534">
        <f t="shared" ca="1" si="2"/>
        <v>0.49318044867445687</v>
      </c>
      <c r="N7" s="337" t="e">
        <f>Divident_all!#REF!</f>
        <v>#REF!</v>
      </c>
      <c r="O7" s="337" t="e">
        <f>Divident_all!#REF!</f>
        <v>#REF!</v>
      </c>
      <c r="P7" s="338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172"/>
      <c r="B8" s="311" t="e">
        <f>Divident_all!#REF!</f>
        <v>#REF!</v>
      </c>
      <c r="C8" s="311" t="e">
        <f>Divident_all!#REF!+Divident_special!C20</f>
        <v>#REF!</v>
      </c>
      <c r="D8" s="312" t="e">
        <f>Divident_all!#REF!</f>
        <v>#REF!</v>
      </c>
      <c r="E8" s="313">
        <f ca="1">IFERROR(__xludf.DUMMYFUNCTION("(((H8/GOOGLEFINANCE (""Currency:USDRON""))/D8)+F8)"),0.578659095043178)</f>
        <v>0.57865909504317803</v>
      </c>
      <c r="F8" s="311" t="e">
        <f>Divident_all!#REF!</f>
        <v>#REF!</v>
      </c>
      <c r="G8" s="312">
        <f ca="1">IFERROR(__xludf.DUMMYFUNCTION("H8/GOOGLEFINANCE (""Currency:USDRON"")"),6.70810786637449)</f>
        <v>6.7081078663744904</v>
      </c>
      <c r="H8" s="314">
        <v>30</v>
      </c>
      <c r="I8" s="315" t="e">
        <f t="shared" si="3"/>
        <v>#REF!</v>
      </c>
      <c r="J8" s="312" t="e">
        <f t="shared" ca="1" si="4"/>
        <v>#REF!</v>
      </c>
      <c r="K8" s="316">
        <f ca="1">IFERROR(__xludf.DUMMYFUNCTION("(F8*C8)/100*GOOGLEFINANCE (""Currency:USDRON"")"),1.773029807648)</f>
        <v>1.773029807648</v>
      </c>
      <c r="L8" s="317">
        <f ca="1">IFERROR(__xludf.DUMMYFUNCTION("(((H8/GOOGLEFINANCE (""Currency:USDRON""))/D8)*C8)/100*GOOGLEFINANCE (""Currency:USDRON"")"),0.530182684670373)</f>
        <v>0.53018268467037299</v>
      </c>
      <c r="M8" s="318">
        <f t="shared" ca="1" si="2"/>
        <v>0.29902637980671237</v>
      </c>
      <c r="N8" s="319" t="e">
        <f>Divident_all!#REF!</f>
        <v>#REF!</v>
      </c>
      <c r="O8" s="319" t="e">
        <f>Divident_all!#REF!</f>
        <v>#REF!</v>
      </c>
      <c r="P8" s="320" t="e">
        <f>Divident_all!#REF!</f>
        <v>#REF!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172"/>
      <c r="B9" s="321" t="e">
        <f>Divident_all!#REF!</f>
        <v>#REF!</v>
      </c>
      <c r="C9" s="321" t="e">
        <f>Divident_all!#REF!</f>
        <v>#REF!</v>
      </c>
      <c r="D9" s="322" t="e">
        <f>Divident_all!#REF!</f>
        <v>#REF!</v>
      </c>
      <c r="E9" s="323">
        <f ca="1">IFERROR(__xludf.DUMMYFUNCTION("(((H9/GOOGLEFINANCE (""Currency:USDRON""))/D9)+F9)"),0.245577498643308)</f>
        <v>0.245577498643308</v>
      </c>
      <c r="F9" s="321" t="e">
        <f>Divident_all!#REF!</f>
        <v>#REF!</v>
      </c>
      <c r="G9" s="322">
        <f ca="1">IFERROR(__xludf.DUMMYFUNCTION("H9/GOOGLEFINANCE (""Currency:usdRON"")"),6.70810786637449)</f>
        <v>6.7081078663744904</v>
      </c>
      <c r="H9" s="324">
        <v>30</v>
      </c>
      <c r="I9" s="325" t="e">
        <f t="shared" si="3"/>
        <v>#REF!</v>
      </c>
      <c r="J9" s="322" t="e">
        <f t="shared" ca="1" si="4"/>
        <v>#REF!</v>
      </c>
      <c r="K9" s="326">
        <f ca="1">IFERROR(__xludf.DUMMYFUNCTION("(F9*C9)/100*GOOGLEFINANCE (""Currency:usdRON"")"),1.525184642794)</f>
        <v>1.5251846427939999</v>
      </c>
      <c r="L9" s="327">
        <f ca="1">IFERROR(__xludf.DUMMYFUNCTION("(((H9/GOOGLEFINANCE (""Currency:usdRON""))/D9)*C9)/100*GOOGLEFINANCE (""Currency:usdRON"")"),0.506617982656321)</f>
        <v>0.50661798265632096</v>
      </c>
      <c r="M9" s="287">
        <f t="shared" ca="1" si="2"/>
        <v>0.33216829519620839</v>
      </c>
      <c r="N9" s="328" t="e">
        <f>Divident_all!#REF!</f>
        <v>#REF!</v>
      </c>
      <c r="O9" s="328" t="e">
        <f>Divident_all!#REF!</f>
        <v>#REF!</v>
      </c>
      <c r="P9" s="329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172"/>
      <c r="B10" s="280" t="e">
        <f>Divident_all!#REF!</f>
        <v>#REF!</v>
      </c>
      <c r="C10" s="280" t="e">
        <f>Divident_all!#REF!</f>
        <v>#REF!</v>
      </c>
      <c r="D10" s="281" t="e">
        <f>Divident_all!#REF!</f>
        <v>#REF!</v>
      </c>
      <c r="E10" s="282">
        <f ca="1">IFERROR(__xludf.DUMMYFUNCTION("(((H10/GOOGLEFINANCE (""Currency:USDRON""))/D10)+F10)"),0.437095700614583)</f>
        <v>0.43709570061458303</v>
      </c>
      <c r="F10" s="280" t="e">
        <f>Divident_all!#REF!</f>
        <v>#REF!</v>
      </c>
      <c r="G10" s="281">
        <f ca="1">IFERROR(__xludf.DUMMYFUNCTION("H10/GOOGLEFINANCE (""Currency:USDRON"")"),6.70810786637449)</f>
        <v>6.7081078663744904</v>
      </c>
      <c r="H10" s="283">
        <v>30</v>
      </c>
      <c r="I10" s="284" t="e">
        <f t="shared" si="3"/>
        <v>#REF!</v>
      </c>
      <c r="J10" s="281" t="e">
        <f t="shared" ca="1" si="4"/>
        <v>#REF!</v>
      </c>
      <c r="K10" s="330">
        <f ca="1">IFERROR(__xludf.DUMMYFUNCTION("(F10*C10)/100*GOOGLEFINANCE (""Currency:USDRON"")"),0.984326568911999)</f>
        <v>0.98432656891199899</v>
      </c>
      <c r="L10" s="286">
        <f ca="1">IFERROR(__xludf.DUMMYFUNCTION("(((H10/GOOGLEFINANCE (""Currency:USDRON""))/D10)*C10)/100*GOOGLEFINANCE (""Currency:USDRON"")"),0.423114593535749)</f>
        <v>0.42311459353574898</v>
      </c>
      <c r="M10" s="287">
        <f t="shared" ca="1" si="2"/>
        <v>0.42985184683516997</v>
      </c>
      <c r="N10" s="288" t="e">
        <f>Divident_all!#REF!</f>
        <v>#REF!</v>
      </c>
      <c r="O10" s="288" t="e">
        <f>Divident_all!#REF!</f>
        <v>#REF!</v>
      </c>
      <c r="P10" s="289" t="e">
        <f>Divident_all!#REF!</f>
        <v>#REF!</v>
      </c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172"/>
      <c r="B11" s="331" t="e">
        <f>Divident_all!#REF!</f>
        <v>#REF!</v>
      </c>
      <c r="C11" s="331" t="e">
        <f>Divident_all!#REF!</f>
        <v>#REF!</v>
      </c>
      <c r="D11" s="332" t="e">
        <f>Divident_all!#REF!</f>
        <v>#REF!</v>
      </c>
      <c r="E11" s="333">
        <f ca="1">IFERROR(__xludf.DUMMYFUNCTION("(((H11/GOOGLEFINANCE (""Currency:USDRON""))/D11)+F11)"),0.252884863817229)</f>
        <v>0.25288486381722902</v>
      </c>
      <c r="F11" s="331" t="e">
        <f>Divident_all!#REF!</f>
        <v>#REF!</v>
      </c>
      <c r="G11" s="332">
        <f ca="1">IFERROR(__xludf.DUMMYFUNCTION("H11/GOOGLEFINANCE (""Currency:USDRON"")"),6.70810786637449)</f>
        <v>6.7081078663744904</v>
      </c>
      <c r="H11" s="304">
        <v>30</v>
      </c>
      <c r="I11" s="334" t="e">
        <f t="shared" si="3"/>
        <v>#REF!</v>
      </c>
      <c r="J11" s="332" t="e">
        <f t="shared" ca="1" si="4"/>
        <v>#REF!</v>
      </c>
      <c r="K11" s="335">
        <f ca="1">IFERROR(__xludf.DUMMYFUNCTION("(E11*C11)/100*GOOGLEFINANCE (""Currency:usdRON"")"),1.43630864371353)</f>
        <v>1.43630864371353</v>
      </c>
      <c r="L11" s="336">
        <f ca="1">IFERROR(__xludf.DUMMYFUNCTION("(((H11/GOOGLEFINANCE (""Currency:usdRON""))/D11)*C11)/100*GOOGLEFINANCE (""Currency:usdRON"")"),0.398702385935537)</f>
        <v>0.39870238593553697</v>
      </c>
      <c r="M11" s="308">
        <f t="shared" ca="1" si="2"/>
        <v>0.27758823821090761</v>
      </c>
      <c r="N11" s="337" t="e">
        <f>Divident_all!#REF!</f>
        <v>#REF!</v>
      </c>
      <c r="O11" s="337" t="e">
        <f>Divident_all!#REF!</f>
        <v>#REF!</v>
      </c>
      <c r="P11" s="338" t="e">
        <f>Divident_all!#REF!</f>
        <v>#REF!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172"/>
      <c r="B12" s="280" t="e">
        <f>Divident_all!#REF!</f>
        <v>#REF!</v>
      </c>
      <c r="C12" s="280" t="e">
        <f>Divident_all!#REF!</f>
        <v>#REF!</v>
      </c>
      <c r="D12" s="281" t="e">
        <f>Divident_all!#REF!</f>
        <v>#REF!</v>
      </c>
      <c r="E12" s="282">
        <f ca="1">IFERROR(__xludf.DUMMYFUNCTION("(((H12/GOOGLEFINANCE (""Currency:USDRON""))/D12)+F12)"),1.03788347603454)</f>
        <v>1.0378834760345399</v>
      </c>
      <c r="F12" s="280" t="e">
        <f>Divident_all!#REF!</f>
        <v>#REF!</v>
      </c>
      <c r="G12" s="281">
        <f ca="1">IFERROR(__xludf.DUMMYFUNCTION("H12/GOOGLEFINANCE (""Currency:USDRON"")"),6.70810786637449)</f>
        <v>6.7081078663744904</v>
      </c>
      <c r="H12" s="283">
        <v>30</v>
      </c>
      <c r="I12" s="284" t="e">
        <f>D12/(C12*3)</f>
        <v>#REF!</v>
      </c>
      <c r="J12" s="281" t="e">
        <f t="shared" ca="1" si="4"/>
        <v>#REF!</v>
      </c>
      <c r="K12" s="330">
        <f ca="1">IFERROR(__xludf.DUMMYFUNCTION("(F12*C12)/100*GOOGLEFINANCE (""Currency:USDRON"")"),1.062088712931)</f>
        <v>1.0620887129309999</v>
      </c>
      <c r="L12" s="286">
        <f ca="1">IFERROR(__xludf.DUMMYFUNCTION("(((H12/GOOGLEFINANCE (""Currency:USDRON""))/D12)*C12)/100*GOOGLEFINANCE (""Currency:USDRON"")"),0.121525019857029)</f>
        <v>0.121525019857029</v>
      </c>
      <c r="M12" s="287">
        <f t="shared" ca="1" si="2"/>
        <v>0.11442078084198984</v>
      </c>
      <c r="N12" s="288" t="e">
        <f>Divident_all!#REF!</f>
        <v>#REF!</v>
      </c>
      <c r="O12" s="288" t="e">
        <f>Divident_all!#REF!</f>
        <v>#REF!</v>
      </c>
      <c r="P12" s="289" t="e">
        <f>Divident_all!#REF!</f>
        <v>#REF!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172"/>
      <c r="B13" s="321" t="e">
        <f>Divident_all!#REF!</f>
        <v>#REF!</v>
      </c>
      <c r="C13" s="321" t="e">
        <f>Divident_all!#REF!</f>
        <v>#REF!</v>
      </c>
      <c r="D13" s="322" t="e">
        <f>Divident_all!#REF!</f>
        <v>#REF!</v>
      </c>
      <c r="E13" s="323">
        <f ca="1">IFERROR(__xludf.DUMMYFUNCTION("(((H13/GOOGLEFINANCE (""Currency:USDRON""))/D13)+F13)"),0.252855219061391)</f>
        <v>0.25285521906139102</v>
      </c>
      <c r="F13" s="321" t="e">
        <f>Divident_all!#REF!</f>
        <v>#REF!</v>
      </c>
      <c r="G13" s="322">
        <f ca="1">IFERROR(__xludf.DUMMYFUNCTION("H13/GOOGLEFINANCE (""Currency:USDRON"")"),6.70810786637449)</f>
        <v>6.7081078663744904</v>
      </c>
      <c r="H13" s="324">
        <v>30</v>
      </c>
      <c r="I13" s="325" t="e">
        <f t="shared" ref="I13:I26" si="5">D13/C13</f>
        <v>#REF!</v>
      </c>
      <c r="J13" s="322" t="e">
        <f t="shared" ca="1" si="4"/>
        <v>#REF!</v>
      </c>
      <c r="K13" s="326">
        <f ca="1">IFERROR(__xludf.DUMMYFUNCTION("(F13*C13)/100*GOOGLEFINANCE (""Currency:USDRON"")"),0.884975733583199)</f>
        <v>0.88497573358319903</v>
      </c>
      <c r="L13" s="327">
        <f ca="1">IFERROR(__xludf.DUMMYFUNCTION("(((H13/GOOGLEFINANCE (""Currency:USDRON""))/D13)*C13)/100*GOOGLEFINANCE (""Currency:USDRON"")"),0.336308905958065)</f>
        <v>0.33630890595806501</v>
      </c>
      <c r="M13" s="287">
        <f t="shared" ca="1" si="2"/>
        <v>0.38002048326949711</v>
      </c>
      <c r="N13" s="328" t="e">
        <f>Divident_all!#REF!</f>
        <v>#REF!</v>
      </c>
      <c r="O13" s="328" t="e">
        <f>Divident_all!#REF!</f>
        <v>#REF!</v>
      </c>
      <c r="P13" s="329" t="e">
        <f>Divident_all!#REF!</f>
        <v>#REF!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172"/>
      <c r="B14" s="339" t="e">
        <f>Divident_all!#REF!</f>
        <v>#REF!</v>
      </c>
      <c r="C14" s="339" t="e">
        <f>Divident_all!#REF!</f>
        <v>#REF!</v>
      </c>
      <c r="D14" s="340" t="e">
        <f>Divident_all!#REF!</f>
        <v>#REF!</v>
      </c>
      <c r="E14" s="341">
        <f ca="1">IFERROR(__xludf.DUMMYFUNCTION("(((H14/GOOGLEFINANCE (""Currency:USDRON""))/D14)+F14)"),0.327712322502786)</f>
        <v>0.32771232250278598</v>
      </c>
      <c r="F14" s="339" t="e">
        <f>Divident_all!#REF!</f>
        <v>#REF!</v>
      </c>
      <c r="G14" s="340">
        <f ca="1">IFERROR(__xludf.DUMMYFUNCTION("H14/GOOGLEFINANCE (""Currency:USDRON"")"),6.70810786637449)</f>
        <v>6.7081078663744904</v>
      </c>
      <c r="H14" s="342">
        <v>30</v>
      </c>
      <c r="I14" s="343" t="e">
        <f t="shared" si="5"/>
        <v>#REF!</v>
      </c>
      <c r="J14" s="340" t="e">
        <f t="shared" ca="1" si="4"/>
        <v>#REF!</v>
      </c>
      <c r="K14" s="344">
        <f ca="1">IFERROR(__xludf.DUMMYFUNCTION("(F14*C14)/100*GOOGLEFINANCE (""Currency:USDRON"")"),1.4474658030876)</f>
        <v>1.4474658030876</v>
      </c>
      <c r="L14" s="345">
        <f ca="1">IFERROR(__xludf.DUMMYFUNCTION("(((H14/GOOGLEFINANCE (""Currency:USDRON""))/D14)*C14)/100*GOOGLEFINANCE (""Currency:USDRON"")"),0.340560156322694)</f>
        <v>0.34056015632269399</v>
      </c>
      <c r="M14" s="346">
        <f t="shared" ca="1" si="2"/>
        <v>0.23528027784576505</v>
      </c>
      <c r="N14" s="347" t="e">
        <f>Divident_all!#REF!</f>
        <v>#REF!</v>
      </c>
      <c r="O14" s="347" t="e">
        <f>Divident_all!#REF!</f>
        <v>#REF!</v>
      </c>
      <c r="P14" s="348" t="e">
        <f>Divident_all!#REF!</f>
        <v>#REF!</v>
      </c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</row>
    <row r="15" spans="1:33" ht="12.75">
      <c r="A15" s="172"/>
      <c r="B15" s="301" t="e">
        <f>Divident_all!#REF!</f>
        <v>#REF!</v>
      </c>
      <c r="C15" s="301" t="e">
        <f>Divident_all!#REF!</f>
        <v>#REF!</v>
      </c>
      <c r="D15" s="302" t="e">
        <f>Divident_all!#REF!</f>
        <v>#REF!</v>
      </c>
      <c r="E15" s="303">
        <f ca="1">IFERROR(__xludf.DUMMYFUNCTION("(((H15/GOOGLEFINANCE (""Currency:USDRON""))/D15)+F15)"),0.112217645313716)</f>
        <v>0.112217645313716</v>
      </c>
      <c r="F15" s="301" t="e">
        <f>Divident_all!#REF!</f>
        <v>#REF!</v>
      </c>
      <c r="G15" s="302">
        <f ca="1">IFERROR(__xludf.DUMMYFUNCTION("H15/GOOGLEFINANCE (""Currency:usdRON"")"),5.59008988864541)</f>
        <v>5.5900898886454096</v>
      </c>
      <c r="H15" s="304">
        <v>25</v>
      </c>
      <c r="I15" s="305" t="e">
        <f t="shared" si="5"/>
        <v>#REF!</v>
      </c>
      <c r="J15" s="302" t="e">
        <f t="shared" ca="1" si="4"/>
        <v>#REF!</v>
      </c>
      <c r="K15" s="306">
        <f ca="1">IFERROR(__xludf.DUMMYFUNCTION("(F15*C15)/100*GOOGLEFINANCE (""Currency:usdRON"")"),0.3889984764676)</f>
        <v>0.3889984764676</v>
      </c>
      <c r="L15" s="307">
        <f ca="1">IFERROR(__xludf.DUMMYFUNCTION("(((H15/GOOGLEFINANCE (""Currency:usdRON""))/D15)*C15)/100*GOOGLEFINANCE (""Currency:usdRON"")"),0.203196032511365)</f>
        <v>0.203196032511365</v>
      </c>
      <c r="M15" s="308">
        <f t="shared" ca="1" si="2"/>
        <v>0.52235688519024148</v>
      </c>
      <c r="N15" s="309" t="e">
        <f>Divident_all!#REF!</f>
        <v>#REF!</v>
      </c>
      <c r="O15" s="309" t="e">
        <f>Divident_all!#REF!</f>
        <v>#REF!</v>
      </c>
      <c r="P15" s="310" t="e">
        <f>Divident_all!#REF!</f>
        <v>#REF!</v>
      </c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172"/>
      <c r="B16" s="280" t="e">
        <f>Divident_all!#REF!</f>
        <v>#REF!</v>
      </c>
      <c r="C16" s="280" t="e">
        <f>Divident_all!#REF!</f>
        <v>#REF!</v>
      </c>
      <c r="D16" s="281" t="e">
        <f>Divident_all!#REF!</f>
        <v>#REF!</v>
      </c>
      <c r="E16" s="282">
        <f ca="1">IFERROR(__xludf.DUMMYFUNCTION("(((H16/GOOGLEFINANCE (""Currency:USDRON""))/D16)+F16)"),1.94928242526348)</f>
        <v>1.9492824252634799</v>
      </c>
      <c r="F16" s="280" t="e">
        <f>Divident_all!#REF!</f>
        <v>#REF!</v>
      </c>
      <c r="G16" s="281">
        <f ca="1">IFERROR(__xludf.DUMMYFUNCTION("H16/GOOGLEFINANCE (""Currency:USDRON"")"),5.59008988864541)</f>
        <v>5.5900898886454096</v>
      </c>
      <c r="H16" s="283">
        <v>25</v>
      </c>
      <c r="I16" s="284" t="e">
        <f t="shared" si="5"/>
        <v>#REF!</v>
      </c>
      <c r="J16" s="281" t="e">
        <f t="shared" ca="1" si="4"/>
        <v>#REF!</v>
      </c>
      <c r="K16" s="285">
        <f ca="1">IFERROR(__xludf.DUMMYFUNCTION("(F16*C16)/100*GOOGLEFINANCE (""Currency:USDRON"")"),2.234805186295)</f>
        <v>2.234805186295</v>
      </c>
      <c r="L16" s="286">
        <f ca="1">IFERROR(__xludf.DUMMYFUNCTION("(((H16/GOOGLEFINANCE (""Currency:USDRON""))/D16)*C16)/100*GOOGLEFINANCE (""Currency:USDRON"")"),0.162529550827423)</f>
        <v>0.16252955082742301</v>
      </c>
      <c r="M16" s="287">
        <f t="shared" ca="1" si="2"/>
        <v>7.2726496172525301E-2</v>
      </c>
      <c r="N16" s="288" t="e">
        <f>Divident_all!#REF!</f>
        <v>#REF!</v>
      </c>
      <c r="O16" s="288" t="e">
        <f>Divident_all!#REF!</f>
        <v>#REF!</v>
      </c>
      <c r="P16" s="289" t="e">
        <f>Divident_all!#REF!</f>
        <v>#REF!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172"/>
      <c r="B17" s="301" t="e">
        <f>Divident_all!#REF!</f>
        <v>#REF!</v>
      </c>
      <c r="C17" s="301" t="e">
        <f>Divident_all!#REF!</f>
        <v>#REF!</v>
      </c>
      <c r="D17" s="302" t="e">
        <f>Divident_all!#REF!</f>
        <v>#REF!</v>
      </c>
      <c r="E17" s="303">
        <f ca="1">IFERROR(__xludf.DUMMYFUNCTION("(((H17/GOOGLEFINANCE (""Currency:USDRON""))/D17)+F17)"),0.434207867676435)</f>
        <v>0.43420786767643499</v>
      </c>
      <c r="F17" s="301" t="e">
        <f>Divident_all!#REF!</f>
        <v>#REF!</v>
      </c>
      <c r="G17" s="302">
        <f ca="1">IFERROR(__xludf.DUMMYFUNCTION("H17/GOOGLEFINANCE (""Currency:USDRON"")"),5.59008988864541)</f>
        <v>5.5900898886454096</v>
      </c>
      <c r="H17" s="304">
        <v>25</v>
      </c>
      <c r="I17" s="305" t="e">
        <f t="shared" si="5"/>
        <v>#REF!</v>
      </c>
      <c r="J17" s="302" t="e">
        <f t="shared" ca="1" si="4"/>
        <v>#REF!</v>
      </c>
      <c r="K17" s="306">
        <f ca="1">IFERROR(__xludf.DUMMYFUNCTION("(F17*C17)/100*GOOGLEFINANCE (""Currency:USDRON"")"),0.71362627068)</f>
        <v>0.71362627067999995</v>
      </c>
      <c r="L17" s="307">
        <f ca="1">IFERROR(__xludf.DUMMYFUNCTION("(((H17/GOOGLEFINANCE (""Currency:USDRON""))/D17)*C17)/100*GOOGLEFINANCE (""Currency:USDRON"")"),0.179631365198375)</f>
        <v>0.179631365198375</v>
      </c>
      <c r="M17" s="308">
        <f t="shared" ca="1" si="2"/>
        <v>0.25171630106499293</v>
      </c>
      <c r="N17" s="309" t="e">
        <f>Divident_all!#REF!</f>
        <v>#REF!</v>
      </c>
      <c r="O17" s="309" t="e">
        <f>Divident_all!#REF!</f>
        <v>#REF!</v>
      </c>
      <c r="P17" s="310" t="e">
        <f>Divident_all!#REF!</f>
        <v>#REF!</v>
      </c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172"/>
      <c r="B18" s="408" t="e">
        <f>Divident_all!#REF!</f>
        <v>#REF!</v>
      </c>
      <c r="C18" s="408" t="e">
        <f>Divident_all!#REF!</f>
        <v>#REF!</v>
      </c>
      <c r="D18" s="409" t="e">
        <f>Divident_all!#REF!</f>
        <v>#REF!</v>
      </c>
      <c r="E18" s="410">
        <f ca="1">IFERROR(__xludf.DUMMYFUNCTION("(((H18/GOOGLEFINANCE (""Currency:USDRON""))/D18)+F18)"),0.182595290094943)</f>
        <v>0.18259529009494299</v>
      </c>
      <c r="F18" s="408" t="e">
        <f>Divident_all!#REF!</f>
        <v>#REF!</v>
      </c>
      <c r="G18" s="409">
        <f ca="1">IFERROR(__xludf.DUMMYFUNCTION("H18/GOOGLEFINANCE (""Currency:USDRON"")"),5.59008988864541)</f>
        <v>5.5900898886454096</v>
      </c>
      <c r="H18" s="411">
        <v>25</v>
      </c>
      <c r="I18" s="412" t="e">
        <f t="shared" si="5"/>
        <v>#REF!</v>
      </c>
      <c r="J18" s="409" t="e">
        <f t="shared" ca="1" si="4"/>
        <v>#REF!</v>
      </c>
      <c r="K18" s="413">
        <f ca="1">IFERROR(__xludf.DUMMYFUNCTION("(F18*C18)/100*GOOGLEFINANCE (""Currency:USDRON"")"),0.7888828065104)</f>
        <v>0.78888280651039999</v>
      </c>
      <c r="L18" s="414">
        <f ca="1">IFERROR(__xludf.DUMMYFUNCTION("(((H18/GOOGLEFINANCE (""Currency:USDRON""))/D18)*C18)/100*GOOGLEFINANCE (""Currency:USDRON"")"),0.182874354561101)</f>
        <v>0.18287435456110099</v>
      </c>
      <c r="M18" s="535">
        <f t="shared" ca="1" si="2"/>
        <v>0.23181434942160845</v>
      </c>
      <c r="N18" s="416" t="e">
        <f>Divident_all!#REF!</f>
        <v>#REF!</v>
      </c>
      <c r="O18" s="416" t="e">
        <f>Divident_all!#REF!</f>
        <v>#REF!</v>
      </c>
      <c r="P18" s="417" t="e">
        <f>Divident_all!#REF!</f>
        <v>#REF!</v>
      </c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172"/>
      <c r="B19" s="349" t="e">
        <f>Divident_all!#REF!</f>
        <v>#REF!</v>
      </c>
      <c r="C19" s="349" t="e">
        <f>Divident_all!#REF!</f>
        <v>#REF!</v>
      </c>
      <c r="D19" s="350" t="e">
        <f>Divident_all!#REF!</f>
        <v>#REF!</v>
      </c>
      <c r="E19" s="351">
        <f ca="1">IFERROR(__xludf.DUMMYFUNCTION("(((H19/GOOGLEFINANCE (""Currency:USDRON""))/D19)+F19)"),0.117269639800887)</f>
        <v>0.117269639800887</v>
      </c>
      <c r="F19" s="349" t="e">
        <f>Divident_all!#REF!</f>
        <v>#REF!</v>
      </c>
      <c r="G19" s="350">
        <f ca="1">IFERROR(__xludf.DUMMYFUNCTION("H19/GOOGLEFINANCE (""Currency:USDRON"")"),5.59008988864541)</f>
        <v>5.5900898886454096</v>
      </c>
      <c r="H19" s="352">
        <v>25</v>
      </c>
      <c r="I19" s="353" t="e">
        <f t="shared" si="5"/>
        <v>#REF!</v>
      </c>
      <c r="J19" s="350" t="e">
        <f t="shared" ca="1" si="4"/>
        <v>#REF!</v>
      </c>
      <c r="K19" s="344">
        <f ca="1">IFERROR(__xludf.DUMMYFUNCTION("(F19*C19)/100*GOOGLEFINANCE (""Currency:USDRON"")"),0.215175766215)</f>
        <v>0.21517576621500001</v>
      </c>
      <c r="L19" s="354">
        <f ca="1">IFERROR(__xludf.DUMMYFUNCTION("(((H19/GOOGLEFINANCE (""Currency:USDRON""))/D19)*C19)/100*GOOGLEFINANCE (""Currency:USDRON"")"),0.178164196123147)</f>
        <v>0.17816419612314699</v>
      </c>
      <c r="M19" s="346">
        <f t="shared" ca="1" si="2"/>
        <v>0.82799378042008842</v>
      </c>
      <c r="N19" s="355" t="e">
        <f>Divident_all!#REF!</f>
        <v>#REF!</v>
      </c>
      <c r="O19" s="355" t="e">
        <f>Divident_all!#REF!</f>
        <v>#REF!</v>
      </c>
      <c r="P19" s="356" t="e">
        <f>Divident_all!#REF!</f>
        <v>#REF!</v>
      </c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172"/>
      <c r="B20" s="331" t="e">
        <f>Divident_all!#REF!</f>
        <v>#REF!</v>
      </c>
      <c r="C20" s="331" t="e">
        <f>Divident_all!#REF!</f>
        <v>#REF!</v>
      </c>
      <c r="D20" s="332" t="e">
        <f>Divident_all!#REF!</f>
        <v>#REF!</v>
      </c>
      <c r="E20" s="333">
        <f ca="1">IFERROR(__xludf.DUMMYFUNCTION("(((H20/GOOGLEFINANCE (""Currency:USDRON""))/D20)+F20)"),0.107603679090525)</f>
        <v>0.107603679090525</v>
      </c>
      <c r="F20" s="331" t="e">
        <f>Divident_all!#REF!</f>
        <v>#REF!</v>
      </c>
      <c r="G20" s="332">
        <f ca="1">IFERROR(__xludf.DUMMYFUNCTION("H20/GOOGLEFINANCE (""Currency:USDRON"")"),4.47207191091632)</f>
        <v>4.4720719109163198</v>
      </c>
      <c r="H20" s="304">
        <v>20</v>
      </c>
      <c r="I20" s="334" t="e">
        <f t="shared" si="5"/>
        <v>#REF!</v>
      </c>
      <c r="J20" s="332" t="e">
        <f t="shared" ca="1" si="4"/>
        <v>#REF!</v>
      </c>
      <c r="K20" s="335">
        <f ca="1">IFERROR(__xludf.DUMMYFUNCTION("(F20*C20)/100*GOOGLEFINANCE (""Currency:USDRON"")"),0.4785187230054)</f>
        <v>0.47851872300539999</v>
      </c>
      <c r="L20" s="336">
        <f ca="1">IFERROR(__xludf.DUMMYFUNCTION("(((H20/GOOGLEFINANCE (""Currency:USDRON""))/D20)*C20)/100*GOOGLEFINANCE (""Currency:USDRON"")"),0.130231121634838)</f>
        <v>0.13023112163483799</v>
      </c>
      <c r="M20" s="308">
        <f t="shared" ca="1" si="2"/>
        <v>0.27215470445315965</v>
      </c>
      <c r="N20" s="337" t="e">
        <f>Divident_all!#REF!</f>
        <v>#REF!</v>
      </c>
      <c r="O20" s="337" t="e">
        <f>Divident_all!#REF!</f>
        <v>#REF!</v>
      </c>
      <c r="P20" s="338" t="e">
        <f>Divident_all!#REF!</f>
        <v>#REF!</v>
      </c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172"/>
      <c r="B21" s="291" t="e">
        <f>Divident_all!#REF!</f>
        <v>#REF!</v>
      </c>
      <c r="C21" s="291" t="e">
        <f>Divident_all!#REF!</f>
        <v>#REF!</v>
      </c>
      <c r="D21" s="292" t="e">
        <f>Divident_all!#REF!</f>
        <v>#REF!</v>
      </c>
      <c r="E21" s="293">
        <f ca="1">IFERROR(__xludf.DUMMYFUNCTION("(((H21/GOOGLEFINANCE (""Currency:USDRON""))/D21)+F21)"),0.0550476064232793)</f>
        <v>5.5047606423279299E-2</v>
      </c>
      <c r="F21" s="291" t="e">
        <f>Divident_all!#REF!</f>
        <v>#REF!</v>
      </c>
      <c r="G21" s="292">
        <f ca="1">IFERROR(__xludf.DUMMYFUNCTION("H21/GOOGLEFINANCE (""Currency:USDRON"")"),4.47207191091632)</f>
        <v>4.4720719109163198</v>
      </c>
      <c r="H21" s="294">
        <v>20</v>
      </c>
      <c r="I21" s="295" t="e">
        <f t="shared" si="5"/>
        <v>#REF!</v>
      </c>
      <c r="J21" s="292" t="e">
        <f t="shared" ca="1" si="4"/>
        <v>#REF!</v>
      </c>
      <c r="K21" s="296">
        <f ca="1">IFERROR(__xludf.DUMMYFUNCTION("(F21*C21)/100*GOOGLEFINANCE (""Currency:USDRON"")"),0.124509603399)</f>
        <v>0.124509603399</v>
      </c>
      <c r="L21" s="297">
        <f ca="1">IFERROR(__xludf.DUMMYFUNCTION("(((H21/GOOGLEFINANCE (""Currency:USDRON""))/D21)*C21)/100*GOOGLEFINANCE (""Currency:USDRON"")"),0.10936510677488)</f>
        <v>0.10936510677488</v>
      </c>
      <c r="M21" s="298">
        <f t="shared" ca="1" si="2"/>
        <v>0.8783668390976368</v>
      </c>
      <c r="N21" s="299" t="e">
        <f>Divident_all!#REF!</f>
        <v>#REF!</v>
      </c>
      <c r="O21" s="299" t="e">
        <f>Divident_all!#REF!</f>
        <v>#REF!</v>
      </c>
      <c r="P21" s="300" t="e">
        <f>Divident_all!#REF!</f>
        <v>#REF!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172"/>
      <c r="B22" s="366" t="e">
        <f>Divident_all!#REF!</f>
        <v>#REF!</v>
      </c>
      <c r="C22" s="366" t="e">
        <f>Divident_all!#REF!</f>
        <v>#REF!</v>
      </c>
      <c r="D22" s="367" t="e">
        <f>Divident_all!#REF!</f>
        <v>#REF!</v>
      </c>
      <c r="E22" s="368">
        <f ca="1">IFERROR(__xludf.DUMMYFUNCTION("(((H22/GOOGLEFINANCE (""Currency:USDRON""))/D22)+F22)"),0.140166159320797)</f>
        <v>0.14016615932079701</v>
      </c>
      <c r="F22" s="366" t="e">
        <f>Divident_all!#REF!</f>
        <v>#REF!</v>
      </c>
      <c r="G22" s="367">
        <f ca="1">IFERROR(__xludf.DUMMYFUNCTION("H22/GOOGLEFINANCE (""Currency:USDRON"")"),4.47207191091632)</f>
        <v>4.4720719109163198</v>
      </c>
      <c r="H22" s="369">
        <v>20</v>
      </c>
      <c r="I22" s="370" t="e">
        <f t="shared" si="5"/>
        <v>#REF!</v>
      </c>
      <c r="J22" s="367" t="e">
        <f t="shared" ca="1" si="4"/>
        <v>#REF!</v>
      </c>
      <c r="K22" s="371">
        <f ca="1">IFERROR(__xludf.DUMMYFUNCTION("(F22*C22)/100*GOOGLEFINANCE (""Currency:USDRON"")"),0.3543950168)</f>
        <v>0.35439501680000002</v>
      </c>
      <c r="L22" s="372">
        <f ca="1">IFERROR(__xludf.DUMMYFUNCTION("(((H22/GOOGLEFINANCE (""Currency:USDRON""))/D22)*C22)/100*GOOGLEFINANCE (""Currency:USDRON"")"),0.147085861371575)</f>
        <v>0.14708586137157501</v>
      </c>
      <c r="M22" s="373">
        <f t="shared" ca="1" si="2"/>
        <v>0.41503366130732511</v>
      </c>
      <c r="N22" s="374" t="e">
        <f>Divident_all!#REF!</f>
        <v>#REF!</v>
      </c>
      <c r="O22" s="374" t="e">
        <f>Divident_all!#REF!</f>
        <v>#REF!</v>
      </c>
      <c r="P22" s="375" t="e">
        <f>Divident_all!#REF!</f>
        <v>#REF!</v>
      </c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172"/>
      <c r="B23" s="357" t="e">
        <f>Divident_all!#REF!</f>
        <v>#REF!</v>
      </c>
      <c r="C23" s="357" t="e">
        <f>Divident_all!#REF!</f>
        <v>#REF!</v>
      </c>
      <c r="D23" s="358" t="e">
        <f>Divident_all!#REF!</f>
        <v>#REF!</v>
      </c>
      <c r="E23" s="359">
        <f ca="1">IFERROR(__xludf.DUMMYFUNCTION("(((H23/GOOGLEFINANCE (""Currency:USDRON""))/D23)+F23)"),0.102830387966676)</f>
        <v>0.102830387966676</v>
      </c>
      <c r="F23" s="357" t="e">
        <f>Divident_all!#REF!</f>
        <v>#REF!</v>
      </c>
      <c r="G23" s="358">
        <f ca="1">IFERROR(__xludf.DUMMYFUNCTION("H23/GOOGLEFINANCE (""Currency:USDRON"")"),4.47207191091632)</f>
        <v>4.4720719109163198</v>
      </c>
      <c r="H23" s="294">
        <v>20</v>
      </c>
      <c r="I23" s="360" t="e">
        <f t="shared" si="5"/>
        <v>#REF!</v>
      </c>
      <c r="J23" s="358" t="e">
        <f t="shared" ca="1" si="4"/>
        <v>#REF!</v>
      </c>
      <c r="K23" s="361">
        <f ca="1">IFERROR(__xludf.DUMMYFUNCTION("(F23*C23)/100*GOOGLEFINANCE (""Currency:USDRON"")"),0.5965197101344)</f>
        <v>0.59651971013439997</v>
      </c>
      <c r="L23" s="362">
        <f ca="1">IFERROR(__xludf.DUMMYFUNCTION("(((H23/GOOGLEFINANCE (""Currency:USDRON""))/D23)*C23)/100*GOOGLEFINANCE (""Currency:USDRON"")"),0.102494942683749)</f>
        <v>0.10249494268374899</v>
      </c>
      <c r="M23" s="363">
        <f t="shared" ca="1" si="2"/>
        <v>0.17182155248592906</v>
      </c>
      <c r="N23" s="364" t="e">
        <f>Divident_all!#REF!</f>
        <v>#REF!</v>
      </c>
      <c r="O23" s="364" t="e">
        <f>Divident_all!#REF!</f>
        <v>#REF!</v>
      </c>
      <c r="P23" s="365" t="e">
        <f>Divident_all!#REF!</f>
        <v>#REF!</v>
      </c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</row>
    <row r="24" spans="1:33" ht="12.75">
      <c r="A24" s="172"/>
      <c r="B24" s="366" t="e">
        <f>Divident_all!#REF!</f>
        <v>#REF!</v>
      </c>
      <c r="C24" s="366" t="e">
        <f>Divident_all!#REF!</f>
        <v>#REF!</v>
      </c>
      <c r="D24" s="367" t="e">
        <f>Divident_all!#REF!</f>
        <v>#REF!</v>
      </c>
      <c r="E24" s="368">
        <f ca="1">IFERROR(__xludf.DUMMYFUNCTION("(((H24/GOOGLEFINANCE (""Currency:USDRON""))/D24)+F24)"),0.20539538982214)</f>
        <v>0.20539538982214001</v>
      </c>
      <c r="F24" s="366" t="e">
        <f>Divident_all!#REF!</f>
        <v>#REF!</v>
      </c>
      <c r="G24" s="367">
        <f ca="1">IFERROR(__xludf.DUMMYFUNCTION("H24/GOOGLEFINANCE (""Currency:USDRON"")"),3.35405393318724)</f>
        <v>3.3540539331872399</v>
      </c>
      <c r="H24" s="369">
        <v>15</v>
      </c>
      <c r="I24" s="370" t="e">
        <f t="shared" si="5"/>
        <v>#REF!</v>
      </c>
      <c r="J24" s="367" t="e">
        <f t="shared" ca="1" si="4"/>
        <v>#REF!</v>
      </c>
      <c r="K24" s="371">
        <f ca="1">IFERROR(__xludf.DUMMYFUNCTION("(F24*C24)/100*GOOGLEFINANCE (""Currency:USDRON"")"),0.33792336216936)</f>
        <v>0.33792336216935998</v>
      </c>
      <c r="L24" s="372">
        <f ca="1">IFERROR(__xludf.DUMMYFUNCTION("(((H24/GOOGLEFINANCE (""Currency:USDRON""))/D24)*C24)/100*GOOGLEFINANCE (""Currency:USDRON"")"),0.0803930799105566)</f>
        <v>8.0393079910556595E-2</v>
      </c>
      <c r="M24" s="373">
        <f t="shared" ca="1" si="2"/>
        <v>0.23790329083629708</v>
      </c>
      <c r="N24" s="374" t="e">
        <f>Divident_all!#REF!</f>
        <v>#REF!</v>
      </c>
      <c r="O24" s="374" t="e">
        <f>Divident_all!#REF!</f>
        <v>#REF!</v>
      </c>
      <c r="P24" s="375" t="e">
        <f>Divident_all!#REF!</f>
        <v>#REF!</v>
      </c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</row>
    <row r="25" spans="1:33" ht="12.75">
      <c r="A25" s="172"/>
      <c r="B25" s="536" t="e">
        <f>Divident_all!#REF!</f>
        <v>#REF!</v>
      </c>
      <c r="C25" s="536" t="e">
        <f>Divident_all!#REF!</f>
        <v>#REF!</v>
      </c>
      <c r="D25" s="537" t="e">
        <f>Divident_all!#REF!</f>
        <v>#REF!</v>
      </c>
      <c r="E25" s="538">
        <f ca="1">IFERROR(__xludf.DUMMYFUNCTION("(((H25/GOOGLEFINANCE (""Currency:USDRON""))/D25)+F25)"),0.11900853968713)</f>
        <v>0.11900853968713</v>
      </c>
      <c r="F25" s="536" t="e">
        <f>Divident_all!#REF!</f>
        <v>#REF!</v>
      </c>
      <c r="G25" s="537">
        <f ca="1">IFERROR(__xludf.DUMMYFUNCTION("H25/GOOGLEFINANCE (""Currency:USDRON"")"),3.35405393318724)</f>
        <v>3.3540539331872399</v>
      </c>
      <c r="H25" s="539">
        <v>15</v>
      </c>
      <c r="I25" s="540" t="e">
        <f t="shared" si="5"/>
        <v>#REF!</v>
      </c>
      <c r="J25" s="537" t="e">
        <f t="shared" ca="1" si="4"/>
        <v>#REF!</v>
      </c>
      <c r="K25" s="541">
        <f ca="1">IFERROR(__xludf.DUMMYFUNCTION("(F25*C25)/100*GOOGLEFINANCE (""Currency:USDRON"")"),0.216357627800699)</f>
        <v>0.216357627800699</v>
      </c>
      <c r="L25" s="542">
        <f ca="1">IFERROR(__xludf.DUMMYFUNCTION("(((H25/GOOGLEFINANCE (""Currency:USDRON""))/D25)*C25)/100*GOOGLEFINANCE (""Currency:USDRON"")"),0.0524185177496367)</f>
        <v>5.2418517749636698E-2</v>
      </c>
      <c r="M25" s="425">
        <f t="shared" ca="1" si="2"/>
        <v>0.24227718838701071</v>
      </c>
      <c r="N25" s="543" t="e">
        <f>Divident_all!#REF!</f>
        <v>#REF!</v>
      </c>
      <c r="O25" s="543" t="e">
        <f>Divident_all!#REF!</f>
        <v>#REF!</v>
      </c>
      <c r="P25" s="544" t="e">
        <f>Divident_all!#REF!</f>
        <v>#REF!</v>
      </c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</row>
    <row r="26" spans="1:33" ht="12.75">
      <c r="A26" s="172"/>
      <c r="B26" s="301" t="e">
        <f>Divident_all!#REF!</f>
        <v>#REF!</v>
      </c>
      <c r="C26" s="301" t="e">
        <f>Divident_all!#REF!</f>
        <v>#REF!</v>
      </c>
      <c r="D26" s="302" t="e">
        <f>Divident_all!#REF!</f>
        <v>#REF!</v>
      </c>
      <c r="E26" s="303">
        <f ca="1">IFERROR(__xludf.DUMMYFUNCTION("(((H26/GOOGLEFINANCE (""Currency:USDRON""))/D26)+F26)"),0.521320598472964)</f>
        <v>0.52132059847296397</v>
      </c>
      <c r="F26" s="301" t="e">
        <f>Divident_all!#REF!</f>
        <v>#REF!</v>
      </c>
      <c r="G26" s="302">
        <f ca="1">IFERROR(__xludf.DUMMYFUNCTION("H26/GOOGLEFINANCE (""Currency:USDRON"")"),3.35405393318724)</f>
        <v>3.3540539331872399</v>
      </c>
      <c r="H26" s="304">
        <v>15</v>
      </c>
      <c r="I26" s="305" t="e">
        <f t="shared" si="5"/>
        <v>#REF!</v>
      </c>
      <c r="J26" s="302" t="e">
        <f t="shared" ca="1" si="4"/>
        <v>#REF!</v>
      </c>
      <c r="K26" s="306">
        <f ca="1">IFERROR(__xludf.DUMMYFUNCTION("(F26*C26)/100*GOOGLEFINANCE (""Currency:USDRON"")"),1.490117898984)</f>
        <v>1.490117898984</v>
      </c>
      <c r="L26" s="307">
        <f ca="1">IFERROR(__xludf.DUMMYFUNCTION("(((H26/GOOGLEFINANCE (""Currency:USDRON""))/D26)*C26)/100*GOOGLEFINANCE (""Currency:USDRON"")"),0.0486390881399233)</f>
        <v>4.8639088139923299E-2</v>
      </c>
      <c r="M26" s="308">
        <f t="shared" ca="1" si="2"/>
        <v>3.264110052841232E-2</v>
      </c>
      <c r="N26" s="309" t="e">
        <f>Divident_all!#REF!</f>
        <v>#REF!</v>
      </c>
      <c r="O26" s="309" t="e">
        <f>Divident_all!#REF!</f>
        <v>#REF!</v>
      </c>
      <c r="P26" s="310" t="e">
        <f>Divident_all!#REF!</f>
        <v>#REF!</v>
      </c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</row>
    <row r="27" spans="1:33" ht="12.75">
      <c r="A27" s="172"/>
      <c r="B27" s="376"/>
      <c r="C27" s="376"/>
      <c r="D27" s="377"/>
      <c r="E27" s="378"/>
      <c r="F27" s="376"/>
      <c r="G27" s="377"/>
      <c r="H27" s="376"/>
      <c r="I27" s="379"/>
      <c r="J27" s="377"/>
      <c r="K27" s="380"/>
      <c r="L27" s="380"/>
      <c r="M27" s="380"/>
      <c r="N27" s="381"/>
      <c r="O27" s="381"/>
      <c r="P27" s="38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</row>
    <row r="28" spans="1:33" ht="12.75">
      <c r="A28" s="172"/>
      <c r="B28" s="376"/>
      <c r="C28" s="376"/>
      <c r="D28" s="377"/>
      <c r="E28" s="378"/>
      <c r="F28" s="376"/>
      <c r="G28" s="377"/>
      <c r="H28" s="376"/>
      <c r="I28" s="379"/>
      <c r="J28" s="377"/>
      <c r="K28" s="380"/>
      <c r="L28" s="380"/>
      <c r="M28" s="380"/>
      <c r="N28" s="381"/>
      <c r="O28" s="381"/>
      <c r="P28" s="38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G22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50</v>
      </c>
      <c r="L2" s="276">
        <f ca="1">((L4*4)*100)/(500+K2)</f>
        <v>4.3673824317315333</v>
      </c>
      <c r="M2" s="13">
        <v>20</v>
      </c>
      <c r="N2" s="13"/>
      <c r="O2" s="13"/>
      <c r="P2" s="13"/>
    </row>
    <row r="3" spans="1:33" ht="15.75" customHeight="1">
      <c r="A3" s="277" t="s">
        <v>36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AVERAGE(C5:C22)</f>
        <v>#REF!</v>
      </c>
      <c r="D4" s="124" t="e">
        <f t="shared" si="0"/>
        <v>#REF!</v>
      </c>
      <c r="E4" s="122">
        <f t="shared" ca="1" si="0"/>
        <v>0.63352934239995518</v>
      </c>
      <c r="F4" s="122"/>
      <c r="G4" s="253">
        <f ca="1">SUM(G5:G22)</f>
        <v>125.81996875041118</v>
      </c>
      <c r="H4" s="122">
        <f>500+K2+M2-SUM(H5:H22)</f>
        <v>0</v>
      </c>
      <c r="I4" s="124"/>
      <c r="J4" s="124" t="e">
        <f t="shared" ref="J4:L4" ca="1" si="1">SUM(J5:J22)</f>
        <v>#REF!</v>
      </c>
      <c r="K4" s="129">
        <f t="shared" ca="1" si="1"/>
        <v>19.165966911874243</v>
      </c>
      <c r="L4" s="129">
        <f t="shared" ca="1" si="1"/>
        <v>6.005150843630858</v>
      </c>
      <c r="M4" s="123">
        <f t="shared" ref="M4:M22" ca="1" si="2">L4/K4</f>
        <v>0.31332365704494547</v>
      </c>
      <c r="N4" s="131"/>
      <c r="O4" s="131"/>
      <c r="P4" s="132"/>
    </row>
    <row r="5" spans="1:33" ht="12.75">
      <c r="A5" s="532"/>
      <c r="B5" s="280" t="e">
        <f>Divident_all!#REF!</f>
        <v>#REF!</v>
      </c>
      <c r="C5" s="280" t="e">
        <f>Divident_all!#REF!</f>
        <v>#REF!</v>
      </c>
      <c r="D5" s="281" t="e">
        <f>Divident_all!#REF!</f>
        <v>#REF!</v>
      </c>
      <c r="E5" s="282">
        <f ca="1">IFERROR(__xludf.DUMMYFUNCTION("(((H5/GOOGLEFINANCE (""Currency:USDRON""))/D5)+F5)"),2.86215320474714)</f>
        <v>2.8621532047471399</v>
      </c>
      <c r="F5" s="280" t="e">
        <f>Divident_all!#REF!</f>
        <v>#REF!</v>
      </c>
      <c r="G5" s="281">
        <f ca="1">IFERROR(__xludf.DUMMYFUNCTION("H5/GOOGLEFINANCE (""Currency:USDRON"")"),8.94414382183265)</f>
        <v>8.9441438218326503</v>
      </c>
      <c r="H5" s="283">
        <v>40</v>
      </c>
      <c r="I5" s="284" t="e">
        <f>D5/C5</f>
        <v>#REF!</v>
      </c>
      <c r="J5" s="281" t="e">
        <f t="shared" ref="J5:J9" ca="1" si="3">((E5*C5)/100)</f>
        <v>#REF!</v>
      </c>
      <c r="K5" s="330">
        <f ca="1">IFERROR(__xludf.DUMMYFUNCTION("(F5*C5)/100*GOOGLEFINANCE (""Currency:USDRON"")"),3.70911388064)</f>
        <v>3.7091138806399999</v>
      </c>
      <c r="L5" s="286">
        <f ca="1">IFERROR(__xludf.DUMMYFUNCTION("(((H5/GOOGLEFINANCE (""Currency:USDRON""))/D5)*C5)/100*GOOGLEFINANCE (""Currency:USDRON"")"),1.41093474426807)</f>
        <v>1.41093474426807</v>
      </c>
      <c r="M5" s="287">
        <f t="shared" ca="1" si="2"/>
        <v>0.38039671729481006</v>
      </c>
      <c r="N5" s="288" t="e">
        <f>Divident_all!#REF!</f>
        <v>#REF!</v>
      </c>
      <c r="O5" s="288" t="e">
        <f>Divident_all!#REF!</f>
        <v>#REF!</v>
      </c>
      <c r="P5" s="289" t="e">
        <f>Divident_all!#REF!</f>
        <v>#REF!</v>
      </c>
      <c r="Q5" s="172"/>
      <c r="R5" s="290"/>
    </row>
    <row r="6" spans="1:33" ht="12.75">
      <c r="A6" s="532"/>
      <c r="B6" s="280" t="e">
        <f>Divident_all!#REF!</f>
        <v>#REF!</v>
      </c>
      <c r="C6" s="280" t="e">
        <f>Divident_all!#REF!</f>
        <v>#REF!</v>
      </c>
      <c r="D6" s="281" t="e">
        <f>Divident_all!#REF!</f>
        <v>#REF!</v>
      </c>
      <c r="E6" s="282">
        <f ca="1">IFERROR(__xludf.DUMMYFUNCTION("(((H6/GOOGLEFINANCE (""Currency:USDRON""))/D6)+F6)"),0.0919724349267225)</f>
        <v>9.1972434926722496E-2</v>
      </c>
      <c r="F6" s="280" t="e">
        <f>Divident_all!#REF!</f>
        <v>#REF!</v>
      </c>
      <c r="G6" s="281">
        <f ca="1">IFERROR(__xludf.DUMMYFUNCTION("H6/GOOGLEFINANCE (""Currency:USDRON"")"),8.94414382183265)</f>
        <v>8.9441438218326503</v>
      </c>
      <c r="H6" s="283">
        <v>40</v>
      </c>
      <c r="I6" s="284" t="e">
        <f t="shared" ref="I6:I7" si="4">D6/(C6*3)</f>
        <v>#REF!</v>
      </c>
      <c r="J6" s="281" t="e">
        <f t="shared" ca="1" si="3"/>
        <v>#REF!</v>
      </c>
      <c r="K6" s="330">
        <f ca="1">IFERROR(__xludf.DUMMYFUNCTION("(F6*C6)/100*GOOGLEFINANCE (""Currency:USDRON"")"),0.324504084215999)</f>
        <v>0.32450408421599902</v>
      </c>
      <c r="L6" s="286">
        <f ca="1">IFERROR(__xludf.DUMMYFUNCTION("(((H6/GOOGLEFINANCE (""Currency:USDRON""))/D6)*C6)/100*GOOGLEFINANCE (""Currency:USDRON"")"),0.31715374841169)</f>
        <v>0.31715374841168997</v>
      </c>
      <c r="M6" s="287">
        <f t="shared" ca="1" si="2"/>
        <v>0.97734901912847283</v>
      </c>
      <c r="N6" s="288" t="e">
        <f>Divident_all!#REF!</f>
        <v>#REF!</v>
      </c>
      <c r="O6" s="288" t="e">
        <f>Divident_all!#REF!</f>
        <v>#REF!</v>
      </c>
      <c r="P6" s="289" t="e">
        <f>Divident_all!#REF!</f>
        <v>#REF!</v>
      </c>
      <c r="Q6" s="240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</row>
    <row r="7" spans="1:33" ht="12.75">
      <c r="A7" s="533"/>
      <c r="B7" s="321" t="e">
        <f>Divident_all!#REF!</f>
        <v>#REF!</v>
      </c>
      <c r="C7" s="321" t="e">
        <f>Divident_all!#REF!</f>
        <v>#REF!</v>
      </c>
      <c r="D7" s="322" t="e">
        <f>Divident_all!#REF!</f>
        <v>#REF!</v>
      </c>
      <c r="E7" s="323">
        <f ca="1">IFERROR(__xludf.DUMMYFUNCTION("(((H7/GOOGLEFINANCE (""Currency:USDRON""))/D7)+F7)"),2.02857448042157)</f>
        <v>2.02857448042157</v>
      </c>
      <c r="F7" s="321" t="e">
        <f>Divident_all!#REF!</f>
        <v>#REF!</v>
      </c>
      <c r="G7" s="322">
        <f ca="1">IFERROR(__xludf.DUMMYFUNCTION("H7/GOOGLEFINANCE (""Currency:usdRON"")"),8.94414382183265)</f>
        <v>8.9441438218326503</v>
      </c>
      <c r="H7" s="324">
        <v>40</v>
      </c>
      <c r="I7" s="325" t="e">
        <f t="shared" si="4"/>
        <v>#REF!</v>
      </c>
      <c r="J7" s="322" t="e">
        <f t="shared" ca="1" si="3"/>
        <v>#REF!</v>
      </c>
      <c r="K7" s="326">
        <f ca="1">IFERROR(__xludf.DUMMYFUNCTION("(F7*C7)/100*GOOGLEFINANCE (""Currency:usdRON"")"),2.234805186295)</f>
        <v>2.234805186295</v>
      </c>
      <c r="L7" s="327">
        <f ca="1">IFERROR(__xludf.DUMMYFUNCTION("(((H7/GOOGLEFINANCE (""Currency:usdRON""))/D7)*C7)/100*GOOGLEFINANCE (""Currency:usdRON"")"),0.260047281323877)</f>
        <v>0.260047281323877</v>
      </c>
      <c r="M7" s="287">
        <f t="shared" ca="1" si="2"/>
        <v>0.11636239387604057</v>
      </c>
      <c r="N7" s="328" t="e">
        <f>Divident_all!#REF!</f>
        <v>#REF!</v>
      </c>
      <c r="O7" s="328" t="e">
        <f>Divident_all!#REF!</f>
        <v>#REF!</v>
      </c>
      <c r="P7" s="329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532"/>
      <c r="B8" s="301" t="e">
        <f>Divident_all!#REF!</f>
        <v>#REF!</v>
      </c>
      <c r="C8" s="301" t="e">
        <f>Divident_all!#REF!</f>
        <v>#REF!</v>
      </c>
      <c r="D8" s="302" t="e">
        <f>Divident_all!#REF!</f>
        <v>#REF!</v>
      </c>
      <c r="E8" s="303">
        <f ca="1">IFERROR(__xludf.DUMMYFUNCTION("(((H8/GOOGLEFINANCE (""Currency:USDRON""))/D8)+F8)"),0.756081994995299)</f>
        <v>0.75608199499529904</v>
      </c>
      <c r="F8" s="301" t="e">
        <f>Divident_all!#REF!</f>
        <v>#REF!</v>
      </c>
      <c r="G8" s="302">
        <f ca="1">IFERROR(__xludf.DUMMYFUNCTION("H8/GOOGLEFINANCE (""Currency:USDRON"")"),8.94414382183265)</f>
        <v>8.9441438218326503</v>
      </c>
      <c r="H8" s="304">
        <v>40</v>
      </c>
      <c r="I8" s="305" t="e">
        <f t="shared" ref="I8:I11" si="5">D8/C8</f>
        <v>#REF!</v>
      </c>
      <c r="J8" s="302" t="e">
        <f t="shared" ca="1" si="3"/>
        <v>#REF!</v>
      </c>
      <c r="K8" s="306">
        <f ca="1">IFERROR(__xludf.DUMMYFUNCTION("(F8*C8)/100*GOOGLEFINANCE (""Currency:USDRON"")"),1.5939746010344)</f>
        <v>1.5939746010344</v>
      </c>
      <c r="L8" s="307">
        <f ca="1">IFERROR(__xludf.DUMMYFUNCTION("(((H8/GOOGLEFINANCE (""Currency:USDRON""))/D8)*C8)/100*GOOGLEFINANCE (""Currency:USDRON"")"),0.793258426966292)</f>
        <v>0.79325842696629201</v>
      </c>
      <c r="M8" s="308">
        <f t="shared" ca="1" si="2"/>
        <v>0.49766064431108992</v>
      </c>
      <c r="N8" s="309" t="e">
        <f>Divident_all!#REF!</f>
        <v>#REF!</v>
      </c>
      <c r="O8" s="309" t="e">
        <f>Divident_all!#REF!</f>
        <v>#REF!</v>
      </c>
      <c r="P8" s="310" t="e">
        <f>Divident_all!#REF!</f>
        <v>#REF!</v>
      </c>
      <c r="Q8" s="240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532"/>
      <c r="B9" s="504" t="e">
        <f>Divident_all!#REF!</f>
        <v>#REF!</v>
      </c>
      <c r="C9" s="504" t="e">
        <f>Divident_all!#REF!</f>
        <v>#REF!</v>
      </c>
      <c r="D9" s="505" t="e">
        <f>Divident_all!#REF!</f>
        <v>#REF!</v>
      </c>
      <c r="E9" s="506">
        <f ca="1">IFERROR(__xludf.DUMMYFUNCTION("(((H9/GOOGLEFINANCE (""Currency:USDRON""))/D9)+F9)"),0.734810178802632)</f>
        <v>0.734810178802632</v>
      </c>
      <c r="F9" s="504" t="e">
        <f>Divident_all!#REF!</f>
        <v>#REF!</v>
      </c>
      <c r="G9" s="505">
        <f ca="1">IFERROR(__xludf.DUMMYFUNCTION("H9/GOOGLEFINANCE (""Currency:USDRON"")"),7.82612584410357)</f>
        <v>7.8261258441035704</v>
      </c>
      <c r="H9" s="507">
        <v>35</v>
      </c>
      <c r="I9" s="508" t="e">
        <f t="shared" si="5"/>
        <v>#REF!</v>
      </c>
      <c r="J9" s="505" t="e">
        <f t="shared" ca="1" si="3"/>
        <v>#REF!</v>
      </c>
      <c r="K9" s="509">
        <f ca="1">IFERROR(__xludf.DUMMYFUNCTION("(F9*C9)/100*GOOGLEFINANCE (""Currency:USDRON"")"),1.54056974870699)</f>
        <v>1.54056974870699</v>
      </c>
      <c r="L9" s="510">
        <f ca="1">IFERROR(__xludf.DUMMYFUNCTION("(((H9/GOOGLEFINANCE (""Currency:USDRON""))/D9)*C9)/100*GOOGLEFINANCE (""Currency:USDRON"")"),0.603687549563838)</f>
        <v>0.60368754956383797</v>
      </c>
      <c r="M9" s="511">
        <f t="shared" ca="1" si="2"/>
        <v>0.39185992719285623</v>
      </c>
      <c r="N9" s="512" t="e">
        <f>Divident_all!#REF!</f>
        <v>#REF!</v>
      </c>
      <c r="O9" s="512" t="e">
        <f>Divident_all!#REF!</f>
        <v>#REF!</v>
      </c>
      <c r="P9" s="513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532"/>
      <c r="B10" s="349" t="e">
        <f>Divident_all!#REF!</f>
        <v>#REF!</v>
      </c>
      <c r="C10" s="349" t="e">
        <f>Divident_all!#REF!</f>
        <v>#REF!</v>
      </c>
      <c r="D10" s="85" t="e">
        <f>Divident_all!#REF!</f>
        <v>#REF!</v>
      </c>
      <c r="E10" s="351" t="str">
        <f ca="1">IFERROR(__xludf.DUMMYFUNCTION("(((H10/GOOGLEFINANCE (""Currency:USDRON"")*100)/D10)+F10)"),"#N/A")</f>
        <v>#N/A</v>
      </c>
      <c r="F10" s="349" t="e">
        <f>Divident_all!#REF!</f>
        <v>#REF!</v>
      </c>
      <c r="G10" s="387">
        <f ca="1">IFERROR(__xludf.DUMMYFUNCTION("H10/GOOGLEFINANCE (""Currency:gbpRON"")"),6.19204513339945)</f>
        <v>6.19204513339945</v>
      </c>
      <c r="H10" s="352">
        <v>35</v>
      </c>
      <c r="I10" s="353" t="e">
        <f t="shared" si="5"/>
        <v>#REF!</v>
      </c>
      <c r="J10" s="387" t="e">
        <f ca="1">((E10*C10)/100)/100</f>
        <v>#VALUE!</v>
      </c>
      <c r="K10" s="344">
        <f ca="1">IFERROR(__xludf.DUMMYFUNCTION("(F10*C10)/100/100*GOOGLEFINANCE (""Currency:gbpRON"")"),1.77792651988568)</f>
        <v>1.77792651988568</v>
      </c>
      <c r="L10" s="354" t="str">
        <f ca="1">IFERROR(__xludf.DUMMYFUNCTION("(((H10/GOOGLEFINANCE (""Currency:gbpRON""))/D10)*C10)/100*GOOGLEFINANCE (""Currency:gbpRON"")"),"#N/A")</f>
        <v>#N/A</v>
      </c>
      <c r="M10" s="346" t="e">
        <f t="shared" ca="1" si="2"/>
        <v>#VALUE!</v>
      </c>
      <c r="N10" s="355" t="e">
        <f>Divident_all!#REF!</f>
        <v>#REF!</v>
      </c>
      <c r="O10" s="355" t="e">
        <f>Divident_all!#REF!</f>
        <v>#REF!</v>
      </c>
      <c r="P10" s="356" t="e">
        <f>Divident_all!#REF!</f>
        <v>#REF!</v>
      </c>
      <c r="Q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532"/>
      <c r="B11" s="514" t="e">
        <f>Divident_all!#REF!</f>
        <v>#REF!</v>
      </c>
      <c r="C11" s="514" t="e">
        <f>Divident_all!#REF!</f>
        <v>#REF!</v>
      </c>
      <c r="D11" s="515" t="e">
        <f>Divident_all!#REF!</f>
        <v>#REF!</v>
      </c>
      <c r="E11" s="516">
        <f ca="1">IFERROR(__xludf.DUMMYFUNCTION("(((H11/GOOGLEFINANCE (""Currency:USDRON""))/D11)+F11)"),1.48148265756588)</f>
        <v>1.4814826575658799</v>
      </c>
      <c r="F11" s="514" t="e">
        <f>Divident_all!#REF!</f>
        <v>#REF!</v>
      </c>
      <c r="G11" s="515">
        <f ca="1">IFERROR(__xludf.DUMMYFUNCTION("H11/GOOGLEFINANCE (""Currency:USDRON"")"),7.82612584410357)</f>
        <v>7.8261258441035704</v>
      </c>
      <c r="H11" s="507">
        <v>35</v>
      </c>
      <c r="I11" s="517" t="e">
        <f t="shared" si="5"/>
        <v>#REF!</v>
      </c>
      <c r="J11" s="515" t="e">
        <f t="shared" ref="J11:J22" ca="1" si="6">((E11*C11)/100)</f>
        <v>#REF!</v>
      </c>
      <c r="K11" s="518">
        <f ca="1">IFERROR(__xludf.DUMMYFUNCTION("(E11*C11)/100*GOOGLEFINANCE (""Currency:usdRON"")"),1.8385725706736)</f>
        <v>1.8385725706736</v>
      </c>
      <c r="L11" s="519">
        <f ca="1">IFERROR(__xludf.DUMMYFUNCTION("(((H11/GOOGLEFINANCE (""Currency:usdRON""))/D11)*C11)/100*GOOGLEFINANCE (""Currency:usdRON"")"),0.566987740805604)</f>
        <v>0.56698774080560399</v>
      </c>
      <c r="M11" s="511">
        <f t="shared" ca="1" si="2"/>
        <v>0.30838474904358876</v>
      </c>
      <c r="N11" s="520" t="e">
        <f>Divident_all!#REF!</f>
        <v>#REF!</v>
      </c>
      <c r="O11" s="520" t="e">
        <f>Divident_all!#REF!</f>
        <v>#REF!</v>
      </c>
      <c r="P11" s="521" t="e">
        <f>Divident_all!#REF!</f>
        <v>#REF!</v>
      </c>
      <c r="Q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532"/>
      <c r="B12" s="280" t="e">
        <f>Divident_all!#REF!</f>
        <v>#REF!</v>
      </c>
      <c r="C12" s="280" t="e">
        <f>Divident_all!#REF!</f>
        <v>#REF!</v>
      </c>
      <c r="D12" s="281" t="e">
        <f>Divident_all!#REF!</f>
        <v>#REF!</v>
      </c>
      <c r="E12" s="282">
        <f ca="1">IFERROR(__xludf.DUMMYFUNCTION("(((H12/GOOGLEFINANCE (""Currency:USDRON""))/D12)+F12)"),1.05564388870696)</f>
        <v>1.0556438887069599</v>
      </c>
      <c r="F12" s="280" t="e">
        <f>Divident_all!#REF!</f>
        <v>#REF!</v>
      </c>
      <c r="G12" s="281">
        <f ca="1">IFERROR(__xludf.DUMMYFUNCTION("H12/GOOGLEFINANCE (""Currency:USDRON"")"),7.82612584410357)</f>
        <v>7.8261258441035704</v>
      </c>
      <c r="H12" s="283">
        <v>35</v>
      </c>
      <c r="I12" s="284" t="e">
        <f>D12/(C12*3)</f>
        <v>#REF!</v>
      </c>
      <c r="J12" s="281" t="e">
        <f t="shared" ca="1" si="6"/>
        <v>#REF!</v>
      </c>
      <c r="K12" s="330">
        <f ca="1">IFERROR(__xludf.DUMMYFUNCTION("(F12*C12)/100*GOOGLEFINANCE (""Currency:USDRON"")"),1.062088712931)</f>
        <v>1.0620887129309999</v>
      </c>
      <c r="L12" s="286">
        <f ca="1">IFERROR(__xludf.DUMMYFUNCTION("(((H12/GOOGLEFINANCE (""Currency:USDRON""))/D12)*C12)/100*GOOGLEFINANCE (""Currency:USDRON"")"),0.1417791898332)</f>
        <v>0.14177918983320001</v>
      </c>
      <c r="M12" s="287">
        <f t="shared" ca="1" si="2"/>
        <v>0.13349091098232102</v>
      </c>
      <c r="N12" s="288" t="e">
        <f>Divident_all!#REF!</f>
        <v>#REF!</v>
      </c>
      <c r="O12" s="288" t="e">
        <f>Divident_all!#REF!</f>
        <v>#REF!</v>
      </c>
      <c r="P12" s="289" t="e">
        <f>Divident_all!#REF!</f>
        <v>#REF!</v>
      </c>
      <c r="Q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532"/>
      <c r="B13" s="391" t="e">
        <f>Divident_all!#REF!</f>
        <v>#REF!</v>
      </c>
      <c r="C13" s="391" t="e">
        <f>Divident_all!#REF!</f>
        <v>#REF!</v>
      </c>
      <c r="D13" s="392" t="e">
        <f>Divident_all!#REF!</f>
        <v>#REF!</v>
      </c>
      <c r="E13" s="393">
        <f ca="1">IFERROR(__xludf.DUMMYFUNCTION("(((H13/GOOGLEFINANCE (""Currency:USDRON""))/D13)+F13)"),0.301650052801843)</f>
        <v>0.30165005280184298</v>
      </c>
      <c r="F13" s="391" t="e">
        <f>Divident_all!#REF!</f>
        <v>#REF!</v>
      </c>
      <c r="G13" s="392">
        <f ca="1">IFERROR(__xludf.DUMMYFUNCTION("H13/GOOGLEFINANCE (""Currency:USDRON"")"),7.82612584410357)</f>
        <v>7.8261258441035704</v>
      </c>
      <c r="H13" s="100">
        <v>35</v>
      </c>
      <c r="I13" s="394" t="e">
        <f t="shared" ref="I13:I22" si="7">D13/C13</f>
        <v>#REF!</v>
      </c>
      <c r="J13" s="392" t="e">
        <f t="shared" ca="1" si="6"/>
        <v>#REF!</v>
      </c>
      <c r="K13" s="395">
        <f ca="1">IFERROR(__xludf.DUMMYFUNCTION("(F13*C13)/100*GOOGLEFINANCE (""Currency:USDRON"")"),0.6440125086025)</f>
        <v>0.64401250860250003</v>
      </c>
      <c r="L13" s="396">
        <f ca="1">IFERROR(__xludf.DUMMYFUNCTION("(((H13/GOOGLEFINANCE (""Currency:USDRON""))/D13)*C13)/100*GOOGLEFINANCE (""Currency:USDRON"")"),0.350904023926046)</f>
        <v>0.35090402392604603</v>
      </c>
      <c r="M13" s="501">
        <f t="shared" ca="1" si="2"/>
        <v>0.54487144153069922</v>
      </c>
      <c r="N13" s="398" t="e">
        <f>Divident_all!#REF!</f>
        <v>#REF!</v>
      </c>
      <c r="O13" s="398" t="e">
        <f>Divident_all!#REF!</f>
        <v>#REF!</v>
      </c>
      <c r="P13" s="399" t="e">
        <f>Divident_all!#REF!</f>
        <v>#REF!</v>
      </c>
      <c r="Q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532"/>
      <c r="B14" s="491" t="e">
        <f>Divident_all!#REF!</f>
        <v>#REF!</v>
      </c>
      <c r="C14" s="491" t="e">
        <f>Divident_all!#REF!</f>
        <v>#REF!</v>
      </c>
      <c r="D14" s="492" t="e">
        <f>Divident_all!#REF!</f>
        <v>#REF!</v>
      </c>
      <c r="E14" s="493">
        <f ca="1">IFERROR(__xludf.DUMMYFUNCTION("(((H14/GOOGLEFINANCE (""Currency:USDRON""))/D14)+F14)"),0.16781296750236)</f>
        <v>0.16781296750235999</v>
      </c>
      <c r="F14" s="491" t="e">
        <f>Divident_all!#REF!</f>
        <v>#REF!</v>
      </c>
      <c r="G14" s="492">
        <f ca="1">IFERROR(__xludf.DUMMYFUNCTION("H14/GOOGLEFINANCE (""Currency:USDRON"")"),6.70810786637449)</f>
        <v>6.7081078663744904</v>
      </c>
      <c r="H14" s="411">
        <v>30</v>
      </c>
      <c r="I14" s="494" t="e">
        <f t="shared" si="7"/>
        <v>#REF!</v>
      </c>
      <c r="J14" s="492" t="e">
        <f t="shared" ca="1" si="6"/>
        <v>#REF!</v>
      </c>
      <c r="K14" s="495">
        <f ca="1">IFERROR(__xludf.DUMMYFUNCTION("(F14*C14)/100*GOOGLEFINANCE (""Currency:USDRON"")"),0.8107906653176)</f>
        <v>0.81079066531760002</v>
      </c>
      <c r="L14" s="496">
        <f ca="1">IFERROR(__xludf.DUMMYFUNCTION("(((H14/GOOGLEFINANCE (""Currency:USDRON""))/D14)*C14)/100*GOOGLEFINANCE (""Currency:USDRON"")"),0.299939201513206)</f>
        <v>0.29993920151320602</v>
      </c>
      <c r="M14" s="415">
        <f t="shared" ca="1" si="2"/>
        <v>0.36993420662497994</v>
      </c>
      <c r="N14" s="497" t="e">
        <f>Divident_all!#REF!</f>
        <v>#REF!</v>
      </c>
      <c r="O14" s="497" t="e">
        <f>Divident_all!#REF!</f>
        <v>#REF!</v>
      </c>
      <c r="P14" s="498" t="e">
        <f>Divident_all!#REF!</f>
        <v>#REF!</v>
      </c>
      <c r="Q14" s="172"/>
      <c r="R14" s="290"/>
    </row>
    <row r="15" spans="1:33" ht="12.75">
      <c r="A15" s="532"/>
      <c r="B15" s="339" t="e">
        <f>Divident_all!#REF!</f>
        <v>#REF!</v>
      </c>
      <c r="C15" s="339" t="e">
        <f>Divident_all!#REF!</f>
        <v>#REF!</v>
      </c>
      <c r="D15" s="340" t="e">
        <f>Divident_all!#REF!</f>
        <v>#REF!</v>
      </c>
      <c r="E15" s="341">
        <f ca="1">IFERROR(__xludf.DUMMYFUNCTION("(((H15/GOOGLEFINANCE (""Currency:USDRON""))/D15)+F15)"),0.187517792616458)</f>
        <v>0.18751779261645801</v>
      </c>
      <c r="F15" s="339" t="e">
        <f>Divident_all!#REF!</f>
        <v>#REF!</v>
      </c>
      <c r="G15" s="340">
        <f ca="1">IFERROR(__xludf.DUMMYFUNCTION("H15/GOOGLEFINANCE (""Currency:USDRON"")"),6.70810786637449)</f>
        <v>6.7081078663744904</v>
      </c>
      <c r="H15" s="342">
        <v>30</v>
      </c>
      <c r="I15" s="343" t="e">
        <f t="shared" si="7"/>
        <v>#REF!</v>
      </c>
      <c r="J15" s="340" t="e">
        <f t="shared" ca="1" si="6"/>
        <v>#REF!</v>
      </c>
      <c r="K15" s="344">
        <f ca="1">IFERROR(__xludf.DUMMYFUNCTION("(F15*C15)/100*GOOGLEFINANCE (""Currency:USDRON"")"),0.619222600879999)</f>
        <v>0.61922260087999903</v>
      </c>
      <c r="L15" s="345">
        <f ca="1">IFERROR(__xludf.DUMMYFUNCTION("(((H15/GOOGLEFINANCE (""Currency:USDRON""))/D15)*C15)/100*GOOGLEFINANCE (""Currency:USDRON"")"),0.219394471259324)</f>
        <v>0.21939447125932399</v>
      </c>
      <c r="M15" s="346">
        <f t="shared" ca="1" si="2"/>
        <v>0.35430630430403343</v>
      </c>
      <c r="N15" s="347" t="e">
        <f>Divident_all!#REF!</f>
        <v>#REF!</v>
      </c>
      <c r="O15" s="347" t="e">
        <f>Divident_all!#REF!</f>
        <v>#REF!</v>
      </c>
      <c r="P15" s="348" t="e">
        <f>Divident_all!#REF!</f>
        <v>#REF!</v>
      </c>
      <c r="Q15" s="172"/>
      <c r="R15" s="290"/>
    </row>
    <row r="16" spans="1:33" ht="12.75">
      <c r="A16" s="532"/>
      <c r="B16" s="301" t="e">
        <f>Divident_all!#REF!</f>
        <v>#REF!</v>
      </c>
      <c r="C16" s="301" t="e">
        <f>Divident_all!#REF!</f>
        <v>#REF!</v>
      </c>
      <c r="D16" s="302" t="e">
        <f>Divident_all!#REF!</f>
        <v>#REF!</v>
      </c>
      <c r="E16" s="303">
        <f ca="1">IFERROR(__xludf.DUMMYFUNCTION("(((H16/GOOGLEFINANCE (""Currency:USDRON""))/D16)+F16)"),0.187184072536738)</f>
        <v>0.18718407253673799</v>
      </c>
      <c r="F16" s="301" t="e">
        <f>Divident_all!#REF!</f>
        <v>#REF!</v>
      </c>
      <c r="G16" s="302">
        <f ca="1">IFERROR(__xludf.DUMMYFUNCTION("H16/GOOGLEFINANCE (""Currency:USDRON"")"),5.59008988864541)</f>
        <v>5.5900898886454096</v>
      </c>
      <c r="H16" s="304">
        <v>25</v>
      </c>
      <c r="I16" s="305" t="e">
        <f t="shared" si="7"/>
        <v>#REF!</v>
      </c>
      <c r="J16" s="302" t="e">
        <f t="shared" ca="1" si="6"/>
        <v>#REF!</v>
      </c>
      <c r="K16" s="306">
        <f ca="1">IFERROR(__xludf.DUMMYFUNCTION("(F16*C16)/100*GOOGLEFINANCE (""Currency:USDRON"")"),0.2557382848)</f>
        <v>0.25573828479999999</v>
      </c>
      <c r="L16" s="307">
        <f ca="1">IFERROR(__xludf.DUMMYFUNCTION("(((H16/GOOGLEFINANCE (""Currency:USDRON""))/D16)*C16)/100*GOOGLEFINANCE (""Currency:USDRON"")"),0.1628240197994)</f>
        <v>0.1628240197994</v>
      </c>
      <c r="M16" s="308">
        <f t="shared" ca="1" si="2"/>
        <v>0.63668222349554138</v>
      </c>
      <c r="N16" s="309" t="e">
        <f>Divident_all!#REF!</f>
        <v>#REF!</v>
      </c>
      <c r="O16" s="309" t="e">
        <f>Divident_all!#REF!</f>
        <v>#REF!</v>
      </c>
      <c r="P16" s="310" t="e">
        <f>Divident_all!#REF!</f>
        <v>#REF!</v>
      </c>
      <c r="Q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532"/>
      <c r="B17" s="522" t="e">
        <f>Divident_all!#REF!</f>
        <v>#REF!</v>
      </c>
      <c r="C17" s="522" t="e">
        <f>Divident_all!#REF!</f>
        <v>#REF!</v>
      </c>
      <c r="D17" s="523" t="e">
        <f>Divident_all!#REF!</f>
        <v>#REF!</v>
      </c>
      <c r="E17" s="524">
        <f ca="1">IFERROR(__xludf.DUMMYFUNCTION("(((H17/GOOGLEFINANCE (""Currency:USDRON""))/D17)+F17)"),0.106092382671538)</f>
        <v>0.106092382671538</v>
      </c>
      <c r="F17" s="522" t="e">
        <f>Divident_all!#REF!</f>
        <v>#REF!</v>
      </c>
      <c r="G17" s="523">
        <f ca="1">IFERROR(__xludf.DUMMYFUNCTION("H17/GOOGLEFINANCE (""Currency:USDRON"")"),5.59008988864541)</f>
        <v>5.5900898886454096</v>
      </c>
      <c r="H17" s="525">
        <v>25</v>
      </c>
      <c r="I17" s="526" t="e">
        <f t="shared" si="7"/>
        <v>#REF!</v>
      </c>
      <c r="J17" s="523" t="e">
        <f t="shared" ca="1" si="6"/>
        <v>#REF!</v>
      </c>
      <c r="K17" s="527">
        <f ca="1">IFERROR(__xludf.DUMMYFUNCTION("(F17*C17)/100*GOOGLEFINANCE (""Currency:USDRON"")"),0.682860777024999)</f>
        <v>0.68286077702499903</v>
      </c>
      <c r="L17" s="528">
        <f ca="1">IFERROR(__xludf.DUMMYFUNCTION("(((H17/GOOGLEFINANCE (""Currency:USDRON""))/D17)*C17)/100*GOOGLEFINANCE (""Currency:USDRON"")"),0.147455342096393)</f>
        <v>0.14745534209639299</v>
      </c>
      <c r="M17" s="529">
        <f t="shared" ca="1" si="2"/>
        <v>0.21593763627603224</v>
      </c>
      <c r="N17" s="530" t="e">
        <f>Divident_all!#REF!</f>
        <v>#REF!</v>
      </c>
      <c r="O17" s="530" t="e">
        <f>Divident_all!#REF!</f>
        <v>#REF!</v>
      </c>
      <c r="P17" s="531" t="e">
        <f>Divident_all!#REF!</f>
        <v>#REF!</v>
      </c>
      <c r="Q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532"/>
      <c r="B18" s="331" t="e">
        <f>Divident_all!#REF!</f>
        <v>#REF!</v>
      </c>
      <c r="C18" s="331" t="e">
        <f>Divident_all!#REF!</f>
        <v>#REF!</v>
      </c>
      <c r="D18" s="332" t="e">
        <f>Divident_all!#REF!</f>
        <v>#REF!</v>
      </c>
      <c r="E18" s="333">
        <f ca="1">IFERROR(__xludf.DUMMYFUNCTION("(((H18/GOOGLEFINANCE (""Currency:USDRON""))/D18)+F18)"),0.281360559978228)</f>
        <v>0.28136055997822801</v>
      </c>
      <c r="F18" s="331" t="e">
        <f>Divident_all!#REF!</f>
        <v>#REF!</v>
      </c>
      <c r="G18" s="332">
        <f ca="1">IFERROR(__xludf.DUMMYFUNCTION("H18/GOOGLEFINANCE (""Currency:USDRON"")"),5.59008988864541)</f>
        <v>5.5900898886454096</v>
      </c>
      <c r="H18" s="304">
        <v>25</v>
      </c>
      <c r="I18" s="334" t="e">
        <f t="shared" si="7"/>
        <v>#REF!</v>
      </c>
      <c r="J18" s="332" t="e">
        <f t="shared" ca="1" si="6"/>
        <v>#REF!</v>
      </c>
      <c r="K18" s="335">
        <f ca="1">IFERROR(__xludf.DUMMYFUNCTION("(F18*C18)/100*GOOGLEFINANCE (""Currency:USDRON"")"),0.455082485376)</f>
        <v>0.45508248537599999</v>
      </c>
      <c r="L18" s="336">
        <f ca="1">IFERROR(__xludf.DUMMYFUNCTION("(((H18/GOOGLEFINANCE (""Currency:USDRON""))/D18)*C18)/100*GOOGLEFINANCE (""Currency:USDRON"")"),0.148901848864623)</f>
        <v>0.14890184886462299</v>
      </c>
      <c r="M18" s="308">
        <f t="shared" ca="1" si="2"/>
        <v>0.32719749418964506</v>
      </c>
      <c r="N18" s="337" t="e">
        <f>Divident_all!#REF!</f>
        <v>#REF!</v>
      </c>
      <c r="O18" s="337" t="e">
        <f>Divident_all!#REF!</f>
        <v>#REF!</v>
      </c>
      <c r="P18" s="338" t="e">
        <f>Divident_all!#REF!</f>
        <v>#REF!</v>
      </c>
      <c r="Q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532"/>
      <c r="B19" s="301" t="e">
        <f>Divident_all!#REF!</f>
        <v>#REF!</v>
      </c>
      <c r="C19" s="301" t="e">
        <f>Divident_all!#REF!</f>
        <v>#REF!</v>
      </c>
      <c r="D19" s="302" t="e">
        <f>Divident_all!#REF!</f>
        <v>#REF!</v>
      </c>
      <c r="E19" s="303">
        <f ca="1">IFERROR(__xludf.DUMMYFUNCTION("(((H19/GOOGLEFINANCE (""Currency:USDRON""))/D19)+F19)"),0.156130119731112)</f>
        <v>0.15613011973111199</v>
      </c>
      <c r="F19" s="301" t="e">
        <f>Divident_all!#REF!</f>
        <v>#REF!</v>
      </c>
      <c r="G19" s="302">
        <f ca="1">IFERROR(__xludf.DUMMYFUNCTION("H19/GOOGLEFINANCE (""Currency:USDRON"")"),5.59008988864541)</f>
        <v>5.5900898886454096</v>
      </c>
      <c r="H19" s="304">
        <v>25</v>
      </c>
      <c r="I19" s="305" t="e">
        <f t="shared" si="7"/>
        <v>#REF!</v>
      </c>
      <c r="J19" s="302" t="e">
        <f t="shared" ca="1" si="6"/>
        <v>#REF!</v>
      </c>
      <c r="K19" s="306">
        <f ca="1">IFERROR(__xludf.DUMMYFUNCTION("(F19*C19)/100*GOOGLEFINANCE (""Currency:USDRON"")"),0.506114966057474)</f>
        <v>0.50611496605747397</v>
      </c>
      <c r="L19" s="307">
        <f ca="1">IFERROR(__xludf.DUMMYFUNCTION("(((H19/GOOGLEFINANCE (""Currency:USDRON""))/D19)*C19)/100*GOOGLEFINANCE (""Currency:USDRON"")"),0.150724219701339)</f>
        <v>0.15072421970133901</v>
      </c>
      <c r="M19" s="308">
        <f t="shared" ca="1" si="2"/>
        <v>0.29780628870837006</v>
      </c>
      <c r="N19" s="309" t="e">
        <f>Divident_all!#REF!</f>
        <v>#REF!</v>
      </c>
      <c r="O19" s="309" t="e">
        <f>Divident_all!#REF!</f>
        <v>#REF!</v>
      </c>
      <c r="P19" s="310" t="e">
        <f>Divident_all!#REF!</f>
        <v>#REF!</v>
      </c>
      <c r="Q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532"/>
      <c r="B20" s="418" t="e">
        <f>Divident_all!#REF!</f>
        <v>#REF!</v>
      </c>
      <c r="C20" s="418" t="e">
        <f>Divident_all!#REF!</f>
        <v>#REF!</v>
      </c>
      <c r="D20" s="419" t="e">
        <f>Divident_all!#REF!</f>
        <v>#REF!</v>
      </c>
      <c r="E20" s="420">
        <f ca="1">IFERROR(__xludf.DUMMYFUNCTION("(((H20/GOOGLEFINANCE (""Currency:USDRON""))/D20)+F20)"),0.090480102607802)</f>
        <v>9.0480102607801996E-2</v>
      </c>
      <c r="F20" s="418" t="e">
        <f>Divident_all!#REF!</f>
        <v>#REF!</v>
      </c>
      <c r="G20" s="419">
        <f ca="1">IFERROR(__xludf.DUMMYFUNCTION("H20/GOOGLEFINANCE (""Currency:USDRON"")"),5.59008988864541)</f>
        <v>5.5900898886454096</v>
      </c>
      <c r="H20" s="421">
        <v>25</v>
      </c>
      <c r="I20" s="422" t="e">
        <f t="shared" si="7"/>
        <v>#REF!</v>
      </c>
      <c r="J20" s="419" t="e">
        <f t="shared" ca="1" si="6"/>
        <v>#REF!</v>
      </c>
      <c r="K20" s="423">
        <f ca="1">IFERROR(__xludf.DUMMYFUNCTION("(F20*C20)/100*GOOGLEFINANCE (""Currency:USDRON"")"),0.3784124123472)</f>
        <v>0.37841241234720002</v>
      </c>
      <c r="L20" s="424">
        <f ca="1">IFERROR(__xludf.DUMMYFUNCTION("(((H20/GOOGLEFINANCE (""Currency:USDRON""))/D20)*C20)/100*GOOGLEFINANCE (""Currency:USDRON"")"),0.155719139297848)</f>
        <v>0.155719139297848</v>
      </c>
      <c r="M20" s="500">
        <f t="shared" ca="1" si="2"/>
        <v>0.41150642583830721</v>
      </c>
      <c r="N20" s="426" t="e">
        <f>Divident_all!#REF!</f>
        <v>#REF!</v>
      </c>
      <c r="O20" s="426" t="e">
        <f>Divident_all!#REF!</f>
        <v>#REF!</v>
      </c>
      <c r="P20" s="427" t="e">
        <f>Divident_all!#REF!</f>
        <v>#REF!</v>
      </c>
      <c r="Q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532"/>
      <c r="B21" s="418" t="e">
        <f>Divident_all!#REF!</f>
        <v>#REF!</v>
      </c>
      <c r="C21" s="418" t="e">
        <f>Divident_all!#REF!</f>
        <v>#REF!</v>
      </c>
      <c r="D21" s="419" t="e">
        <f>Divident_all!#REF!</f>
        <v>#REF!</v>
      </c>
      <c r="E21" s="420">
        <f ca="1">IFERROR(__xludf.DUMMYFUNCTION("(((H21/GOOGLEFINANCE (""Currency:USDRON""))/D21)+F21)"),0.0846386387449226)</f>
        <v>8.4638638744922598E-2</v>
      </c>
      <c r="F21" s="418" t="e">
        <f>Divident_all!#REF!</f>
        <v>#REF!</v>
      </c>
      <c r="G21" s="419">
        <f ca="1">IFERROR(__xludf.DUMMYFUNCTION("H21/GOOGLEFINANCE (""Currency:USDRON"")"),5.59008988864541)</f>
        <v>5.5900898886454096</v>
      </c>
      <c r="H21" s="421">
        <v>25</v>
      </c>
      <c r="I21" s="422" t="e">
        <f t="shared" si="7"/>
        <v>#REF!</v>
      </c>
      <c r="J21" s="419" t="e">
        <f t="shared" ca="1" si="6"/>
        <v>#REF!</v>
      </c>
      <c r="K21" s="423">
        <f ca="1">IFERROR(__xludf.DUMMYFUNCTION("(F21*C21)/100*GOOGLEFINANCE (""Currency:USDRON"")"),0.314748606024)</f>
        <v>0.31474860602400001</v>
      </c>
      <c r="L21" s="424">
        <f ca="1">IFERROR(__xludf.DUMMYFUNCTION("(((H21/GOOGLEFINANCE (""Currency:USDRON""))/D21)*C21)/100*GOOGLEFINANCE (""Currency:USDRON"")"),0.139476498210051)</f>
        <v>0.13947649821005101</v>
      </c>
      <c r="M21" s="500">
        <f t="shared" ca="1" si="2"/>
        <v>0.44313619040910301</v>
      </c>
      <c r="N21" s="426" t="e">
        <f>Divident_all!#REF!</f>
        <v>#REF!</v>
      </c>
      <c r="O21" s="426" t="e">
        <f>Divident_all!#REF!</f>
        <v>#REF!</v>
      </c>
      <c r="P21" s="427" t="e">
        <f>Divident_all!#REF!</f>
        <v>#REF!</v>
      </c>
      <c r="Q21" s="172"/>
      <c r="R21" s="290"/>
    </row>
    <row r="22" spans="1:33" ht="12.75">
      <c r="A22" s="532"/>
      <c r="B22" s="349" t="e">
        <f>Divident_all!#REF!</f>
        <v>#REF!</v>
      </c>
      <c r="C22" s="349" t="e">
        <f>Divident_all!#REF!</f>
        <v>#REF!</v>
      </c>
      <c r="D22" s="350" t="e">
        <f>Divident_all!#REF!</f>
        <v>#REF!</v>
      </c>
      <c r="E22" s="351">
        <f ca="1">IFERROR(__xludf.DUMMYFUNCTION("(((H22/GOOGLEFINANCE (""Currency:USDRON""))/D22)+F22)"),0.196413291442035)</f>
        <v>0.19641329144203501</v>
      </c>
      <c r="F22" s="349" t="e">
        <f>Divident_all!#REF!</f>
        <v>#REF!</v>
      </c>
      <c r="G22" s="350">
        <f ca="1">IFERROR(__xludf.DUMMYFUNCTION("H22/GOOGLEFINANCE (""Currency:USDRON"")"),5.59008988864541)</f>
        <v>5.5900898886454096</v>
      </c>
      <c r="H22" s="352">
        <v>25</v>
      </c>
      <c r="I22" s="353" t="e">
        <f t="shared" si="7"/>
        <v>#REF!</v>
      </c>
      <c r="J22" s="350" t="e">
        <f t="shared" ca="1" si="6"/>
        <v>#REF!</v>
      </c>
      <c r="K22" s="344">
        <f ca="1">IFERROR(__xludf.DUMMYFUNCTION("(F22*C22)/100*GOOGLEFINANCE (""Currency:USDRON"")"),0.417428301061799)</f>
        <v>0.41742830106179901</v>
      </c>
      <c r="L22" s="354">
        <f ca="1">IFERROR(__xludf.DUMMYFUNCTION("(((H22/GOOGLEFINANCE (""Currency:USDRON""))/D22)*C22)/100*GOOGLEFINANCE (""Currency:USDRON"")"),0.135963397790055)</f>
        <v>0.13596339779005501</v>
      </c>
      <c r="M22" s="346">
        <f t="shared" ca="1" si="2"/>
        <v>0.32571676966848978</v>
      </c>
      <c r="N22" s="355" t="e">
        <f>Divident_all!#REF!</f>
        <v>#REF!</v>
      </c>
      <c r="O22" s="355" t="e">
        <f>Divident_all!#REF!</f>
        <v>#REF!</v>
      </c>
      <c r="P22" s="356" t="e">
        <f>Divident_all!#REF!</f>
        <v>#REF!</v>
      </c>
      <c r="Q22" s="172"/>
      <c r="R22" s="29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G28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105</v>
      </c>
      <c r="L2" s="276">
        <f ca="1">((L4*4)*100)/(500+K2)</f>
        <v>4.8692063709065785</v>
      </c>
      <c r="M2" s="13">
        <v>10</v>
      </c>
      <c r="N2" s="13"/>
      <c r="O2" s="13"/>
      <c r="P2" s="13"/>
    </row>
    <row r="3" spans="1:33" ht="15.75" customHeight="1">
      <c r="A3" s="277" t="s">
        <v>37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AVERAGE(C5:C28)</f>
        <v>#REF!</v>
      </c>
      <c r="D4" s="124" t="e">
        <f t="shared" si="0"/>
        <v>#REF!</v>
      </c>
      <c r="E4" s="278">
        <f t="shared" ca="1" si="0"/>
        <v>1.7708302220614682</v>
      </c>
      <c r="F4" s="122"/>
      <c r="G4" s="253">
        <f ca="1">SUM(G5:G28)</f>
        <v>138.83710548380708</v>
      </c>
      <c r="H4" s="122">
        <f>500+K2+M2-SUM(H5:H28)</f>
        <v>0</v>
      </c>
      <c r="I4" s="124"/>
      <c r="J4" s="124" t="e">
        <f t="shared" ref="J4:L4" ca="1" si="1">SUM(J5:J28)</f>
        <v>#REF!</v>
      </c>
      <c r="K4" s="129">
        <f t="shared" ca="1" si="1"/>
        <v>31.730879964971983</v>
      </c>
      <c r="L4" s="129">
        <f t="shared" ca="1" si="1"/>
        <v>7.3646746359962005</v>
      </c>
      <c r="M4" s="123">
        <f t="shared" ref="M4:M28" ca="1" si="2">L4/K4</f>
        <v>0.23209802703631713</v>
      </c>
      <c r="N4" s="131"/>
      <c r="O4" s="131"/>
      <c r="P4" s="132"/>
    </row>
    <row r="5" spans="1:33" ht="12.75">
      <c r="A5" s="172"/>
      <c r="B5" s="280" t="e">
        <f>Divident_all!#REF!</f>
        <v>#REF!</v>
      </c>
      <c r="C5" s="280" t="e">
        <f>Divident_all!#REF!</f>
        <v>#REF!</v>
      </c>
      <c r="D5" s="281" t="e">
        <f>Divident_all!#REF!</f>
        <v>#REF!</v>
      </c>
      <c r="E5" s="282">
        <f ca="1">IFERROR(__xludf.DUMMYFUNCTION("(((H5/GOOGLEFINANCE (""Currency:USDRON""))/D5)+F5)"),3.48244926332796)</f>
        <v>3.4824492633279598</v>
      </c>
      <c r="F5" s="280" t="e">
        <f>Divident_all!#REF!</f>
        <v>#REF!</v>
      </c>
      <c r="G5" s="281">
        <f ca="1">IFERROR(__xludf.DUMMYFUNCTION("H5/GOOGLEFINANCE (""Currency:USDRON"")"),7.82612584410357)</f>
        <v>7.8261258441035704</v>
      </c>
      <c r="H5" s="283">
        <v>35</v>
      </c>
      <c r="I5" s="284" t="e">
        <f t="shared" ref="I5:I9" si="3">D5/C5</f>
        <v>#REF!</v>
      </c>
      <c r="J5" s="281" t="e">
        <f t="shared" ref="J5:J8" ca="1" si="4">((E5*C5)/100)</f>
        <v>#REF!</v>
      </c>
      <c r="K5" s="330">
        <f ca="1">IFERROR(__xludf.DUMMYFUNCTION("(F5*C5)/100*GOOGLEFINANCE (""Currency:USDRON"")"),5.290104200304)</f>
        <v>5.2901042003040004</v>
      </c>
      <c r="L5" s="286">
        <f ca="1">IFERROR(__xludf.DUMMYFUNCTION("(((H5/GOOGLEFINANCE (""Currency:USDRON""))/D5)*C5)/100*GOOGLEFINANCE (""Currency:USDRON"")"),1.25106382978723)</f>
        <v>1.2510638297872301</v>
      </c>
      <c r="M5" s="469">
        <f t="shared" ca="1" si="2"/>
        <v>0.23649133975760564</v>
      </c>
      <c r="N5" s="288" t="e">
        <f>Divident_all!#REF!</f>
        <v>#REF!</v>
      </c>
      <c r="O5" s="288" t="e">
        <f>Divident_all!#REF!</f>
        <v>#REF!</v>
      </c>
      <c r="P5" s="289" t="e">
        <f>Divident_all!#REF!</f>
        <v>#REF!</v>
      </c>
      <c r="Q5" s="172"/>
      <c r="R5" s="290"/>
    </row>
    <row r="6" spans="1:33" ht="12.75">
      <c r="A6" s="172"/>
      <c r="B6" s="311" t="e">
        <f>Divident_all!#REF!</f>
        <v>#REF!</v>
      </c>
      <c r="C6" s="311" t="e">
        <f>Divident_all!#REF!</f>
        <v>#REF!</v>
      </c>
      <c r="D6" s="383" t="e">
        <f>Divident_all!#REF!</f>
        <v>#REF!</v>
      </c>
      <c r="E6" s="313">
        <f ca="1">IFERROR(__xludf.DUMMYFUNCTION("(((H6/GOOGLEFINANCE (""Currency:cadRON""))/D6)+F6)"),1.19903116077195)</f>
        <v>1.1990311607719499</v>
      </c>
      <c r="F6" s="311" t="e">
        <f>Divident_all!#REF!</f>
        <v>#REF!</v>
      </c>
      <c r="G6" s="384">
        <f ca="1">IFERROR(__xludf.DUMMYFUNCTION("H6/GOOGLEFINANCE (""Currency:cadRON"")"),10.5476606764086)</f>
        <v>10.547660676408601</v>
      </c>
      <c r="H6" s="314">
        <v>35</v>
      </c>
      <c r="I6" s="315" t="e">
        <f t="shared" si="3"/>
        <v>#REF!</v>
      </c>
      <c r="J6" s="383" t="e">
        <f t="shared" ca="1" si="4"/>
        <v>#REF!</v>
      </c>
      <c r="K6" s="316">
        <f ca="1">IFERROR(__xludf.DUMMYFUNCTION("(F6*C6)/100*GOOGLEFINANCE (""Currency:cadRON"")"),2.75279206008608)</f>
        <v>2.75279206008608</v>
      </c>
      <c r="L6" s="317">
        <f ca="1">IFERROR(__xludf.DUMMYFUNCTION("(((H6/GOOGLEFINANCE (""Currency:cadRON""))/D6)*C6)/100*GOOGLEFINANCE (""Currency:cadRON"")"),0.778313705838135)</f>
        <v>0.77831370583813497</v>
      </c>
      <c r="M6" s="318">
        <f t="shared" ca="1" si="2"/>
        <v>0.28273610532493221</v>
      </c>
      <c r="N6" s="319" t="e">
        <f>Divident_all!#REF!</f>
        <v>#REF!</v>
      </c>
      <c r="O6" s="319" t="e">
        <f>Divident_all!#REF!</f>
        <v>#REF!</v>
      </c>
      <c r="P6" s="320" t="e">
        <f>Divident_all!#REF!</f>
        <v>#REF!</v>
      </c>
      <c r="Q6" s="240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</row>
    <row r="7" spans="1:33" ht="12.75">
      <c r="A7" s="172"/>
      <c r="B7" s="339" t="e">
        <f>Divident_all!#REF!</f>
        <v>#REF!</v>
      </c>
      <c r="C7" s="339" t="e">
        <f>Divident_all!#REF!</f>
        <v>#REF!</v>
      </c>
      <c r="D7" s="340" t="e">
        <f>Divident_all!#REF!</f>
        <v>#REF!</v>
      </c>
      <c r="E7" s="341">
        <f ca="1">IFERROR(__xludf.DUMMYFUNCTION("(((H7/GOOGLEFINANCE (""Currency:USDRON""))/D7)+F7)"),2.75443992707499)</f>
        <v>2.7544399270749902</v>
      </c>
      <c r="F7" s="339" t="e">
        <f>Divident_all!#REF!</f>
        <v>#REF!</v>
      </c>
      <c r="G7" s="340">
        <f ca="1">IFERROR(__xludf.DUMMYFUNCTION("H7/GOOGLEFINANCE (""Currency:USDRON"")"),6.70810786637449)</f>
        <v>6.7081078663744904</v>
      </c>
      <c r="H7" s="342">
        <v>30</v>
      </c>
      <c r="I7" s="343" t="e">
        <f t="shared" si="3"/>
        <v>#REF!</v>
      </c>
      <c r="J7" s="340" t="e">
        <f t="shared" ca="1" si="4"/>
        <v>#REF!</v>
      </c>
      <c r="K7" s="344">
        <f ca="1">IFERROR(__xludf.DUMMYFUNCTION("(F7*C7)/100*GOOGLEFINANCE (""Currency:USDRON"")"),1.58717081061999)</f>
        <v>1.58717081061999</v>
      </c>
      <c r="L7" s="345">
        <f ca="1">IFERROR(__xludf.DUMMYFUNCTION("(((H7/GOOGLEFINANCE (""Currency:USDRON""))/D7)*C7)/100*GOOGLEFINANCE (""Currency:USDRON"")"),0.506958250497017)</f>
        <v>0.50695825049701704</v>
      </c>
      <c r="M7" s="346">
        <f t="shared" ca="1" si="2"/>
        <v>0.31941001378357381</v>
      </c>
      <c r="N7" s="347" t="e">
        <f>Divident_all!#REF!</f>
        <v>#REF!</v>
      </c>
      <c r="O7" s="347" t="e">
        <f>Divident_all!#REF!</f>
        <v>#REF!</v>
      </c>
      <c r="P7" s="348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172"/>
      <c r="B8" s="485" t="e">
        <f>Divident_all!#REF!</f>
        <v>#REF!</v>
      </c>
      <c r="C8" s="485" t="e">
        <f>Divident_all!#REF!</f>
        <v>#REF!</v>
      </c>
      <c r="D8" s="481" t="e">
        <f>Divident_all!#REF!</f>
        <v>#REF!</v>
      </c>
      <c r="E8" s="486">
        <f ca="1">IFERROR(__xludf.DUMMYFUNCTION("(((H8/GOOGLEFINANCE (""Currency:USDRON""))/D8)+F8)"),0.499825550556107)</f>
        <v>0.499825550556107</v>
      </c>
      <c r="F8" s="485" t="e">
        <f>Divident_all!#REF!</f>
        <v>#REF!</v>
      </c>
      <c r="G8" s="481">
        <f ca="1">IFERROR(__xludf.DUMMYFUNCTION("H8/GOOGLEFINANCE (""Currency:USDRON"")"),6.70810786637449)</f>
        <v>6.7081078663744904</v>
      </c>
      <c r="H8" s="168">
        <v>30</v>
      </c>
      <c r="I8" s="169" t="e">
        <f t="shared" si="3"/>
        <v>#REF!</v>
      </c>
      <c r="J8" s="481" t="e">
        <f t="shared" ca="1" si="4"/>
        <v>#REF!</v>
      </c>
      <c r="K8" s="487">
        <f ca="1">IFERROR(__xludf.DUMMYFUNCTION("(F8*C8)/100*GOOGLEFINANCE (""Currency:USDRON"")"),1.69061324383999)</f>
        <v>1.6906132438399899</v>
      </c>
      <c r="L8" s="482">
        <f ca="1">IFERROR(__xludf.DUMMYFUNCTION("(((H8/GOOGLEFINANCE (""Currency:USDRON""))/D8)*C8)/100*GOOGLEFINANCE (""Currency:USDRON"")"),0.444117191133157)</f>
        <v>0.44411719113315701</v>
      </c>
      <c r="M8" s="318">
        <f t="shared" ca="1" si="2"/>
        <v>0.26269591389477548</v>
      </c>
      <c r="N8" s="488" t="e">
        <f>Divident_all!#REF!</f>
        <v>#REF!</v>
      </c>
      <c r="O8" s="488" t="e">
        <f>Divident_all!#REF!</f>
        <v>#REF!</v>
      </c>
      <c r="P8" s="489" t="e">
        <f>Divident_all!#REF!</f>
        <v>#REF!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172"/>
      <c r="B9" s="311" t="e">
        <f>Divident_all!#REF!</f>
        <v>#REF!</v>
      </c>
      <c r="C9" s="311" t="e">
        <f>Divident_all!#REF!</f>
        <v>#REF!</v>
      </c>
      <c r="D9" s="490" t="e">
        <f>Divident_all!#REF!</f>
        <v>#REF!</v>
      </c>
      <c r="E9" s="313">
        <f ca="1">IFERROR(__xludf.DUMMYFUNCTION("(((H9/GOOGLEFINANCE (""Currency:gbpRON"")*100)/D9)+F9)"),24.3032338580844)</f>
        <v>24.303233858084401</v>
      </c>
      <c r="F9" s="311" t="e">
        <f>Divident_all!#REF!</f>
        <v>#REF!</v>
      </c>
      <c r="G9" s="390">
        <f ca="1">IFERROR(__xludf.DUMMYFUNCTION("H9/GOOGLEFINANCE (""Currency:gbpRON"")"),5.30746725719953)</f>
        <v>5.3074672571995301</v>
      </c>
      <c r="H9" s="314">
        <v>30</v>
      </c>
      <c r="I9" s="315" t="e">
        <f t="shared" si="3"/>
        <v>#REF!</v>
      </c>
      <c r="J9" s="390" t="e">
        <f ca="1">((E9*C9)/100)/100</f>
        <v>#REF!</v>
      </c>
      <c r="K9" s="316">
        <f ca="1">IFERROR(__xludf.DUMMYFUNCTION("((F9*C9)/100*GOOGLEFINANCE (""Currency:gbpRON""))/100"),2.04314166889872)</f>
        <v>2.0431416688987198</v>
      </c>
      <c r="L9" s="317">
        <f ca="1">IFERROR(__xludf.DUMMYFUNCTION("(((H9/GOOGLEFINANCE (""Currency:gbpRON""))/D9)*C9)/100*GOOGLEFINANCE (""Currency:gbpRON"")"),0.422684458398744)</f>
        <v>0.42268445839874402</v>
      </c>
      <c r="M9" s="318">
        <f t="shared" ca="1" si="2"/>
        <v>0.20687966225395252</v>
      </c>
      <c r="N9" s="319" t="e">
        <f>Divident_all!#REF!</f>
        <v>#REF!</v>
      </c>
      <c r="O9" s="319" t="e">
        <f>Divident_all!#REF!</f>
        <v>#REF!</v>
      </c>
      <c r="P9" s="320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172"/>
      <c r="B10" s="471" t="e">
        <f>Divident_all!#REF!</f>
        <v>#REF!</v>
      </c>
      <c r="C10" s="471" t="e">
        <f>Divident_all!#REF!</f>
        <v>#REF!</v>
      </c>
      <c r="D10" s="472" t="e">
        <f>Divident_all!#REF!</f>
        <v>#REF!</v>
      </c>
      <c r="E10" s="473">
        <f ca="1">IFERROR(__xludf.DUMMYFUNCTION("(((H10/GOOGLEFINANCE (""Currency:USDRON""))/D10)+F10)"),0.27776617126061)</f>
        <v>0.27776617126060998</v>
      </c>
      <c r="F10" s="471" t="e">
        <f>Divident_all!#REF!</f>
        <v>#REF!</v>
      </c>
      <c r="G10" s="472">
        <f ca="1">IFERROR(__xludf.DUMMYFUNCTION("H10/GOOGLEFINANCE (""Currency:usdRON"")"),6.70810786637449)</f>
        <v>6.7081078663744904</v>
      </c>
      <c r="H10" s="474">
        <v>30</v>
      </c>
      <c r="I10" s="475" t="e">
        <f>D10/(C10)</f>
        <v>#REF!</v>
      </c>
      <c r="J10" s="472" t="e">
        <f t="shared" ref="J10:J28" ca="1" si="5">((E10*C10)/100)</f>
        <v>#REF!</v>
      </c>
      <c r="K10" s="476">
        <f ca="1">IFERROR(__xludf.DUMMYFUNCTION("(F10*C10)/100*GOOGLEFINANCE (""Currency:usdRON"")"),1.65934524932079)</f>
        <v>1.6593452493207901</v>
      </c>
      <c r="L10" s="477">
        <f ca="1">IFERROR(__xludf.DUMMYFUNCTION("(((H10/GOOGLEFINANCE (""Currency:usdRON""))/D10)*C10)/100*GOOGLEFINANCE (""Currency:usdRON"")"),0.402749696724625)</f>
        <v>0.40274969672462502</v>
      </c>
      <c r="M10" s="373">
        <f t="shared" ca="1" si="2"/>
        <v>0.24271603326039604</v>
      </c>
      <c r="N10" s="478" t="e">
        <f>Divident_all!#REF!</f>
        <v>#REF!</v>
      </c>
      <c r="O10" s="478" t="e">
        <f>Divident_all!#REF!</f>
        <v>#REF!</v>
      </c>
      <c r="P10" s="479" t="e">
        <f>Divident_all!#REF!</f>
        <v>#REF!</v>
      </c>
      <c r="Q10" s="240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172"/>
      <c r="B11" s="280" t="e">
        <f>Divident_all!#REF!</f>
        <v>#REF!</v>
      </c>
      <c r="C11" s="280" t="e">
        <f>Divident_all!#REF!</f>
        <v>#REF!</v>
      </c>
      <c r="D11" s="281" t="e">
        <f>Divident_all!#REF!</f>
        <v>#REF!</v>
      </c>
      <c r="E11" s="282">
        <f ca="1">IFERROR(__xludf.DUMMYFUNCTION("(((H11/GOOGLEFINANCE (""Currency:USDRON""))/D11)+F11)"),0.7106645217456)</f>
        <v>0.71066452174560002</v>
      </c>
      <c r="F11" s="280" t="e">
        <f>Divident_all!#REF!</f>
        <v>#REF!</v>
      </c>
      <c r="G11" s="281">
        <f ca="1">IFERROR(__xludf.DUMMYFUNCTION("H11/GOOGLEFINANCE (""Currency:USDRON"")"),6.70810786637449)</f>
        <v>6.7081078663744904</v>
      </c>
      <c r="H11" s="283">
        <v>30</v>
      </c>
      <c r="I11" s="284" t="e">
        <f t="shared" ref="I11:I15" si="6">D11/C11</f>
        <v>#REF!</v>
      </c>
      <c r="J11" s="281" t="e">
        <f t="shared" ca="1" si="5"/>
        <v>#REF!</v>
      </c>
      <c r="K11" s="330">
        <f ca="1">IFERROR(__xludf.DUMMYFUNCTION("(F11*C11)/100*GOOGLEFINANCE (""Currency:USDRON"")"),1.37674150207)</f>
        <v>1.37674150207</v>
      </c>
      <c r="L11" s="286">
        <f ca="1">IFERROR(__xludf.DUMMYFUNCTION("(((H11/GOOGLEFINANCE (""Currency:USDRON""))/D11)*C11)/100*GOOGLEFINANCE (""Currency:USDRON"")"),0.371287128712871)</f>
        <v>0.37128712871287101</v>
      </c>
      <c r="M11" s="469">
        <f t="shared" ca="1" si="2"/>
        <v>0.26968543343439721</v>
      </c>
      <c r="N11" s="288" t="e">
        <f>Divident_all!#REF!</f>
        <v>#REF!</v>
      </c>
      <c r="O11" s="288" t="e">
        <f>Divident_all!#REF!</f>
        <v>#REF!</v>
      </c>
      <c r="P11" s="289" t="e">
        <f>Divident_all!#REF!</f>
        <v>#REF!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172"/>
      <c r="B12" s="339" t="e">
        <f>Divident_all!#REF!</f>
        <v>#REF!</v>
      </c>
      <c r="C12" s="339" t="e">
        <f>Divident_all!#REF!</f>
        <v>#REF!</v>
      </c>
      <c r="D12" s="340" t="e">
        <f>Divident_all!#REF!</f>
        <v>#REF!</v>
      </c>
      <c r="E12" s="341">
        <f ca="1">IFERROR(__xludf.DUMMYFUNCTION("(((H12/GOOGLEFINANCE (""Currency:USDRON""))/D12)+F12)"),1.33590717007798)</f>
        <v>1.3359071700779801</v>
      </c>
      <c r="F12" s="339" t="e">
        <f>Divident_all!#REF!</f>
        <v>#REF!</v>
      </c>
      <c r="G12" s="340">
        <f ca="1">IFERROR(__xludf.DUMMYFUNCTION("H12/GOOGLEFINANCE (""Currency:USDRON"")"),6.70810786637449)</f>
        <v>6.7081078663744904</v>
      </c>
      <c r="H12" s="342">
        <v>30</v>
      </c>
      <c r="I12" s="343" t="e">
        <f t="shared" si="6"/>
        <v>#REF!</v>
      </c>
      <c r="J12" s="340" t="e">
        <f t="shared" ca="1" si="5"/>
        <v>#REF!</v>
      </c>
      <c r="K12" s="344">
        <f ca="1">IFERROR(__xludf.DUMMYFUNCTION("(F12*C12)/100*GOOGLEFINANCE (""Currency:USDRON"")"),1.43688297684)</f>
        <v>1.43688297684</v>
      </c>
      <c r="L12" s="345">
        <f ca="1">IFERROR(__xludf.DUMMYFUNCTION("(((H12/GOOGLEFINANCE (""Currency:USDRON""))/D12)*C12)/100*GOOGLEFINANCE (""Currency:USDRON"")"),0.355450236966824)</f>
        <v>0.35545023696682398</v>
      </c>
      <c r="M12" s="346">
        <f t="shared" ca="1" si="2"/>
        <v>0.24737591209308629</v>
      </c>
      <c r="N12" s="347" t="e">
        <f>Divident_all!#REF!</f>
        <v>#REF!</v>
      </c>
      <c r="O12" s="347" t="e">
        <f>Divident_all!#REF!</f>
        <v>#REF!</v>
      </c>
      <c r="P12" s="348" t="e">
        <f>Divident_all!#REF!</f>
        <v>#REF!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172"/>
      <c r="B13" s="311" t="e">
        <f>Divident_all!#REF!</f>
        <v>#REF!</v>
      </c>
      <c r="C13" s="311" t="e">
        <f>Divident_all!#REF!</f>
        <v>#REF!</v>
      </c>
      <c r="D13" s="312" t="e">
        <f>Divident_all!#REF!</f>
        <v>#REF!</v>
      </c>
      <c r="E13" s="313">
        <f ca="1">IFERROR(__xludf.DUMMYFUNCTION("(((H13/GOOGLEFINANCE (""Currency:USDRON""))/D13)+F13)"),0.958877442132359)</f>
        <v>0.95887744213235904</v>
      </c>
      <c r="F13" s="311" t="e">
        <f>Divident_all!#REF!</f>
        <v>#REF!</v>
      </c>
      <c r="G13" s="312">
        <f ca="1">IFERROR(__xludf.DUMMYFUNCTION("H13/GOOGLEFINANCE (""Currency:USDRON"")"),6.70810786637449)</f>
        <v>6.7081078663744904</v>
      </c>
      <c r="H13" s="314">
        <v>30</v>
      </c>
      <c r="I13" s="315" t="e">
        <f t="shared" si="6"/>
        <v>#REF!</v>
      </c>
      <c r="J13" s="312" t="e">
        <f t="shared" ca="1" si="5"/>
        <v>#REF!</v>
      </c>
      <c r="K13" s="316">
        <f ca="1">IFERROR(__xludf.DUMMYFUNCTION("(F13*C13)/100*GOOGLEFINANCE (""Currency:USDRON"")"),1.38029479555823)</f>
        <v>1.3802947955582301</v>
      </c>
      <c r="L13" s="317">
        <f ca="1">IFERROR(__xludf.DUMMYFUNCTION("(((H13/GOOGLEFINANCE (""Currency:USDRON""))/D13)*C13)/100*GOOGLEFINANCE (""Currency:USDRON"")"),0.320441691354699)</f>
        <v>0.32044169135469902</v>
      </c>
      <c r="M13" s="318">
        <f t="shared" ca="1" si="2"/>
        <v>0.23215453132611674</v>
      </c>
      <c r="N13" s="319" t="e">
        <f>Divident_all!#REF!</f>
        <v>#REF!</v>
      </c>
      <c r="O13" s="319" t="e">
        <f>Divident_all!#REF!</f>
        <v>#REF!</v>
      </c>
      <c r="P13" s="320" t="e">
        <f>Divident_all!#REF!</f>
        <v>#REF!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172"/>
      <c r="B14" s="400" t="e">
        <f>Divident_all!#REF!</f>
        <v>#REF!</v>
      </c>
      <c r="C14" s="400" t="e">
        <f>Divident_all!#REF!</f>
        <v>#REF!</v>
      </c>
      <c r="D14" s="401" t="e">
        <f>Divident_all!#REF!</f>
        <v>#REF!</v>
      </c>
      <c r="E14" s="402">
        <f ca="1">IFERROR(__xludf.DUMMYFUNCTION("(((H14/GOOGLEFINANCE (""Currency:USDRON""))/D14)+F14)"),0.335514362906345)</f>
        <v>0.33551436290634501</v>
      </c>
      <c r="F14" s="400" t="e">
        <f>Divident_all!#REF!</f>
        <v>#REF!</v>
      </c>
      <c r="G14" s="401">
        <f ca="1">IFERROR(__xludf.DUMMYFUNCTION("H14/GOOGLEFINANCE (""Currency:USDRON"")"),6.70810786637449)</f>
        <v>6.7081078663744904</v>
      </c>
      <c r="H14" s="403">
        <v>30</v>
      </c>
      <c r="I14" s="404" t="e">
        <f t="shared" si="6"/>
        <v>#REF!</v>
      </c>
      <c r="J14" s="401" t="e">
        <f t="shared" ca="1" si="5"/>
        <v>#REF!</v>
      </c>
      <c r="K14" s="499">
        <f ca="1">IFERROR(__xludf.DUMMYFUNCTION("(F14*C14)/100*GOOGLEFINANCE (""Currency:USDRON"")"),1.2045477414732)</f>
        <v>1.2045477414732</v>
      </c>
      <c r="L14" s="405">
        <f ca="1">IFERROR(__xludf.DUMMYFUNCTION("(((H14/GOOGLEFINANCE (""Currency:USDRON""))/D14)*C14)/100*GOOGLEFINANCE (""Currency:USDRON"")"),0.303442028985507)</f>
        <v>0.30344202898550698</v>
      </c>
      <c r="M14" s="397">
        <f t="shared" ca="1" si="2"/>
        <v>0.25191365899236817</v>
      </c>
      <c r="N14" s="406" t="e">
        <f>Divident_all!#REF!</f>
        <v>#REF!</v>
      </c>
      <c r="O14" s="406" t="e">
        <f>Divident_all!#REF!</f>
        <v>#REF!</v>
      </c>
      <c r="P14" s="407" t="e">
        <f>Divident_all!#REF!</f>
        <v>#REF!</v>
      </c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</row>
    <row r="15" spans="1:33" ht="12.75">
      <c r="A15" s="172"/>
      <c r="B15" s="391" t="e">
        <f>Divident_all!#REF!</f>
        <v>#REF!</v>
      </c>
      <c r="C15" s="391" t="e">
        <f>Divident_all!#REF!</f>
        <v>#REF!</v>
      </c>
      <c r="D15" s="392" t="e">
        <f>Divident_all!#REF!</f>
        <v>#REF!</v>
      </c>
      <c r="E15" s="393">
        <f ca="1">IFERROR(__xludf.DUMMYFUNCTION("(((H15/GOOGLEFINANCE (""Currency:USDRON""))/D15)+F15)"),0.687295024790106)</f>
        <v>0.68729502479010596</v>
      </c>
      <c r="F15" s="391" t="e">
        <f>Divident_all!#REF!</f>
        <v>#REF!</v>
      </c>
      <c r="G15" s="392">
        <f ca="1">IFERROR(__xludf.DUMMYFUNCTION("H15/GOOGLEFINANCE (""Currency:USDRON"")"),6.70810786637449)</f>
        <v>6.7081078663744904</v>
      </c>
      <c r="H15" s="100">
        <v>30</v>
      </c>
      <c r="I15" s="394" t="e">
        <f t="shared" si="6"/>
        <v>#REF!</v>
      </c>
      <c r="J15" s="392" t="e">
        <f t="shared" ca="1" si="5"/>
        <v>#REF!</v>
      </c>
      <c r="K15" s="395">
        <f ca="1">IFERROR(__xludf.DUMMYFUNCTION("(F15*C15)/100*GOOGLEFINANCE (""Currency:USDRON"")"),1.181509109257)</f>
        <v>1.181509109257</v>
      </c>
      <c r="L15" s="396">
        <f ca="1">IFERROR(__xludf.DUMMYFUNCTION("(((H15/GOOGLEFINANCE (""Currency:USDRON""))/D15)*C15)/100*GOOGLEFINANCE (""Currency:USDRON"")"),0.309245483528161)</f>
        <v>0.309245483528161</v>
      </c>
      <c r="M15" s="501">
        <f t="shared" ca="1" si="2"/>
        <v>0.26173770570641824</v>
      </c>
      <c r="N15" s="398" t="e">
        <f>Divident_all!#REF!</f>
        <v>#REF!</v>
      </c>
      <c r="O15" s="398" t="e">
        <f>Divident_all!#REF!</f>
        <v>#REF!</v>
      </c>
      <c r="P15" s="399" t="e">
        <f>Divident_all!#REF!</f>
        <v>#REF!</v>
      </c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172"/>
      <c r="B16" s="491" t="e">
        <f>Divident_all!#REF!</f>
        <v>#REF!</v>
      </c>
      <c r="C16" s="491" t="e">
        <f>Divident_all!#REF!</f>
        <v>#REF!</v>
      </c>
      <c r="D16" s="492" t="e">
        <f>Divident_all!#REF!</f>
        <v>#REF!</v>
      </c>
      <c r="E16" s="493">
        <f ca="1">IFERROR(__xludf.DUMMYFUNCTION("(((H16/GOOGLEFINANCE (""Currency:USDRON""))/D16)+F16)"),0.759522835967121)</f>
        <v>0.759522835967121</v>
      </c>
      <c r="F16" s="491" t="e">
        <f>Divident_all!#REF!</f>
        <v>#REF!</v>
      </c>
      <c r="G16" s="492">
        <f ca="1">IFERROR(__xludf.DUMMYFUNCTION("H16/GOOGLEFINANCE (""Currency:USDRON"")"),6.70810786637449)</f>
        <v>6.7081078663744904</v>
      </c>
      <c r="H16" s="411">
        <v>30</v>
      </c>
      <c r="I16" s="494" t="e">
        <f>D16/(C16)</f>
        <v>#REF!</v>
      </c>
      <c r="J16" s="492" t="e">
        <f t="shared" ca="1" si="5"/>
        <v>#REF!</v>
      </c>
      <c r="K16" s="495">
        <f ca="1">IFERROR(__xludf.DUMMYFUNCTION("(F16*C16)/100*GOOGLEFINANCE (""Currency:USDRON"")"),1.07309906808199)</f>
        <v>1.0730990680819901</v>
      </c>
      <c r="L16" s="496">
        <f ca="1">IFERROR(__xludf.DUMMYFUNCTION("(((H16/GOOGLEFINANCE (""Currency:USDRON""))/D16)*C16)/100*GOOGLEFINANCE (""Currency:USDRON"")"),0.319563522992985)</f>
        <v>0.31956352299298502</v>
      </c>
      <c r="M16" s="415">
        <f t="shared" ca="1" si="2"/>
        <v>0.29779498696626283</v>
      </c>
      <c r="N16" s="497" t="e">
        <f>Divident_all!#REF!</f>
        <v>#REF!</v>
      </c>
      <c r="O16" s="497" t="e">
        <f>Divident_all!#REF!</f>
        <v>#REF!</v>
      </c>
      <c r="P16" s="498" t="e">
        <f>Divident_all!#REF!</f>
        <v>#REF!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172"/>
      <c r="B17" s="400" t="e">
        <f>Divident_all!#REF!</f>
        <v>#REF!</v>
      </c>
      <c r="C17" s="400" t="e">
        <f>Divident_all!#REF!</f>
        <v>#REF!</v>
      </c>
      <c r="D17" s="401" t="e">
        <f>Divident_all!#REF!</f>
        <v>#REF!</v>
      </c>
      <c r="E17" s="402">
        <f ca="1">IFERROR(__xludf.DUMMYFUNCTION("(((H17/GOOGLEFINANCE (""Currency:USDRON""))/D17)+F17)"),0.454773207214377)</f>
        <v>0.45477320721437697</v>
      </c>
      <c r="F17" s="400" t="e">
        <f>Divident_all!#REF!</f>
        <v>#REF!</v>
      </c>
      <c r="G17" s="401">
        <f ca="1">IFERROR(__xludf.DUMMYFUNCTION("H17/GOOGLEFINANCE (""Currency:USDRON"")"),5.59008988864541)</f>
        <v>5.5900898886454096</v>
      </c>
      <c r="H17" s="403">
        <v>25</v>
      </c>
      <c r="I17" s="404" t="e">
        <f t="shared" ref="I17:I20" si="7">D17/C17</f>
        <v>#REF!</v>
      </c>
      <c r="J17" s="401" t="e">
        <f t="shared" ca="1" si="5"/>
        <v>#REF!</v>
      </c>
      <c r="K17" s="499">
        <f ca="1">IFERROR(__xludf.DUMMYFUNCTION("(F17*C17)/100*GOOGLEFINANCE (""Currency:USDRON"")"),1.19016556666)</f>
        <v>1.19016556666</v>
      </c>
      <c r="L17" s="405">
        <f ca="1">IFERROR(__xludf.DUMMYFUNCTION("(((H17/GOOGLEFINANCE (""Currency:USDRON""))/D17)*C17)/100*GOOGLEFINANCE (""Currency:USDRON"")"),0.233520149452895)</f>
        <v>0.23352014945289501</v>
      </c>
      <c r="M17" s="397">
        <f t="shared" ca="1" si="2"/>
        <v>0.19620812094928114</v>
      </c>
      <c r="N17" s="406" t="e">
        <f>Divident_all!#REF!</f>
        <v>#REF!</v>
      </c>
      <c r="O17" s="406" t="e">
        <f>Divident_all!#REF!</f>
        <v>#REF!</v>
      </c>
      <c r="P17" s="407" t="e">
        <f>Divident_all!#REF!</f>
        <v>#REF!</v>
      </c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172"/>
      <c r="B18" s="311" t="e">
        <f>Divident_all!#REF!</f>
        <v>#REF!</v>
      </c>
      <c r="C18" s="311" t="e">
        <f>Divident_all!#REF!</f>
        <v>#REF!</v>
      </c>
      <c r="D18" s="312" t="e">
        <f>Divident_all!#REF!</f>
        <v>#REF!</v>
      </c>
      <c r="E18" s="313">
        <f ca="1">IFERROR(__xludf.DUMMYFUNCTION("(((H18/GOOGLEFINANCE (""Currency:USDRON""))/D18)+F18)"),0.175548765705295)</f>
        <v>0.17554876570529501</v>
      </c>
      <c r="F18" s="311" t="e">
        <f>Divident_all!#REF!</f>
        <v>#REF!</v>
      </c>
      <c r="G18" s="312">
        <f ca="1">IFERROR(__xludf.DUMMYFUNCTION("H18/GOOGLEFINANCE (""Currency:USDRON"")"),5.59008988864541)</f>
        <v>5.5900898886454096</v>
      </c>
      <c r="H18" s="314">
        <v>25</v>
      </c>
      <c r="I18" s="315" t="e">
        <f t="shared" si="7"/>
        <v>#REF!</v>
      </c>
      <c r="J18" s="312" t="e">
        <f t="shared" ca="1" si="5"/>
        <v>#REF!</v>
      </c>
      <c r="K18" s="316">
        <f ca="1">IFERROR(__xludf.DUMMYFUNCTION("(F18*C18)/100*GOOGLEFINANCE (""Currency:USDRON"")"),0.949856438943)</f>
        <v>0.94985643894299998</v>
      </c>
      <c r="L18" s="317">
        <f ca="1">IFERROR(__xludf.DUMMYFUNCTION("(((H18/GOOGLEFINANCE (""Currency:USDRON""))/D18)*C18)/100*GOOGLEFINANCE (""Currency:USDRON"")"),0.235628237937706)</f>
        <v>0.23562823793770599</v>
      </c>
      <c r="M18" s="318">
        <f t="shared" ca="1" si="2"/>
        <v>0.24806721129343823</v>
      </c>
      <c r="N18" s="319" t="e">
        <f>Divident_all!#REF!</f>
        <v>#REF!</v>
      </c>
      <c r="O18" s="319" t="e">
        <f>Divident_all!#REF!</f>
        <v>#REF!</v>
      </c>
      <c r="P18" s="320" t="e">
        <f>Divident_all!#REF!</f>
        <v>#REF!</v>
      </c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172"/>
      <c r="B19" s="301" t="e">
        <f>Divident_all!#REF!</f>
        <v>#REF!</v>
      </c>
      <c r="C19" s="301" t="e">
        <f>Divident_all!#REF!</f>
        <v>#REF!</v>
      </c>
      <c r="D19" s="302" t="e">
        <f>Divident_all!#REF!</f>
        <v>#REF!</v>
      </c>
      <c r="E19" s="303">
        <f ca="1">IFERROR(__xludf.DUMMYFUNCTION("(((H19/GOOGLEFINANCE (""Currency:USDRON""))/D19)+F19)"),0.519458770720396)</f>
        <v>0.51945877072039603</v>
      </c>
      <c r="F19" s="301" t="e">
        <f>Divident_all!#REF!</f>
        <v>#REF!</v>
      </c>
      <c r="G19" s="302">
        <f ca="1">IFERROR(__xludf.DUMMYFUNCTION("H19/GOOGLEFINANCE (""Currency:USDRON"")"),5.59008988864541)</f>
        <v>5.5900898886454096</v>
      </c>
      <c r="H19" s="304">
        <v>25</v>
      </c>
      <c r="I19" s="305" t="e">
        <f t="shared" si="7"/>
        <v>#REF!</v>
      </c>
      <c r="J19" s="302" t="e">
        <f t="shared" ca="1" si="5"/>
        <v>#REF!</v>
      </c>
      <c r="K19" s="306">
        <f ca="1">IFERROR(__xludf.DUMMYFUNCTION("(F19*C19)/100*GOOGLEFINANCE (""Currency:USDRON"")"),0.548492208726)</f>
        <v>0.54849220872600002</v>
      </c>
      <c r="L19" s="307">
        <f ca="1">IFERROR(__xludf.DUMMYFUNCTION("(((H19/GOOGLEFINANCE (""Currency:USDRON""))/D19)*C19)/100*GOOGLEFINANCE (""Currency:USDRON"")"),0.2181385510312)</f>
        <v>0.2181385510312</v>
      </c>
      <c r="M19" s="308">
        <f t="shared" ca="1" si="2"/>
        <v>0.39770583348463096</v>
      </c>
      <c r="N19" s="309" t="e">
        <f>Divident_all!#REF!</f>
        <v>#REF!</v>
      </c>
      <c r="O19" s="309" t="e">
        <f>Divident_all!#REF!</f>
        <v>#REF!</v>
      </c>
      <c r="P19" s="310" t="e">
        <f>Divident_all!#REF!</f>
        <v>#REF!</v>
      </c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172"/>
      <c r="B20" s="280" t="e">
        <f>Divident_all!#REF!</f>
        <v>#REF!</v>
      </c>
      <c r="C20" s="280" t="e">
        <f>Divident_all!#REF!</f>
        <v>#REF!</v>
      </c>
      <c r="D20" s="281" t="e">
        <f>Divident_all!#REF!</f>
        <v>#REF!</v>
      </c>
      <c r="E20" s="282">
        <f ca="1">IFERROR(__xludf.DUMMYFUNCTION("(((H20/GOOGLEFINANCE (""Currency:USDRON""))/D20)+F20)"),1.94928242526348)</f>
        <v>1.9492824252634799</v>
      </c>
      <c r="F20" s="280" t="e">
        <f>Divident_all!#REF!</f>
        <v>#REF!</v>
      </c>
      <c r="G20" s="281">
        <f ca="1">IFERROR(__xludf.DUMMYFUNCTION("H20/GOOGLEFINANCE (""Currency:USDRON"")"),5.59008988864541)</f>
        <v>5.5900898886454096</v>
      </c>
      <c r="H20" s="283">
        <v>25</v>
      </c>
      <c r="I20" s="284" t="e">
        <f t="shared" si="7"/>
        <v>#REF!</v>
      </c>
      <c r="J20" s="281" t="e">
        <f t="shared" ca="1" si="5"/>
        <v>#REF!</v>
      </c>
      <c r="K20" s="330">
        <f ca="1">IFERROR(__xludf.DUMMYFUNCTION("(F20*C20)/100*GOOGLEFINANCE (""Currency:USDRON"")"),2.234805186295)</f>
        <v>2.234805186295</v>
      </c>
      <c r="L20" s="286">
        <f ca="1">IFERROR(__xludf.DUMMYFUNCTION("(((H20/GOOGLEFINANCE (""Currency:USDRON""))/D20)*C20)/100*GOOGLEFINANCE (""Currency:USDRON"")"),0.162529550827423)</f>
        <v>0.16252955082742301</v>
      </c>
      <c r="M20" s="469">
        <f t="shared" ca="1" si="2"/>
        <v>7.2726496172525301E-2</v>
      </c>
      <c r="N20" s="288" t="e">
        <f>Divident_all!#REF!</f>
        <v>#REF!</v>
      </c>
      <c r="O20" s="288" t="e">
        <f>Divident_all!#REF!</f>
        <v>#REF!</v>
      </c>
      <c r="P20" s="289" t="e">
        <f>Divident_all!#REF!</f>
        <v>#REF!</v>
      </c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172"/>
      <c r="B21" s="408" t="e">
        <f>Divident_all!#REF!</f>
        <v>#REF!</v>
      </c>
      <c r="C21" s="408" t="e">
        <f>Divident_all!#REF!</f>
        <v>#REF!</v>
      </c>
      <c r="D21" s="409" t="e">
        <f>Divident_all!#REF!</f>
        <v>#REF!</v>
      </c>
      <c r="E21" s="410">
        <f ca="1">IFERROR(__xludf.DUMMYFUNCTION("(((H21/GOOGLEFINANCE (""Currency:USDRON""))/D21)+F21)"),0.182595290094943)</f>
        <v>0.18259529009494299</v>
      </c>
      <c r="F21" s="408" t="e">
        <f>Divident_all!#REF!</f>
        <v>#REF!</v>
      </c>
      <c r="G21" s="409">
        <f ca="1">IFERROR(__xludf.DUMMYFUNCTION("H21/GOOGLEFINANCE (""Currency:USDRON"")"),5.59008988864541)</f>
        <v>5.5900898886454096</v>
      </c>
      <c r="H21" s="411">
        <v>25</v>
      </c>
      <c r="I21" s="412" t="e">
        <f>D21/(C21)</f>
        <v>#REF!</v>
      </c>
      <c r="J21" s="409" t="e">
        <f t="shared" ca="1" si="5"/>
        <v>#REF!</v>
      </c>
      <c r="K21" s="413">
        <f ca="1">IFERROR(__xludf.DUMMYFUNCTION("(F21*C21)/100*GOOGLEFINANCE (""Currency:USDRON"")"),0.7888828065104)</f>
        <v>0.78888280651039999</v>
      </c>
      <c r="L21" s="414">
        <f ca="1">IFERROR(__xludf.DUMMYFUNCTION("(((H21/GOOGLEFINANCE (""Currency:USDRON""))/D21)*C21)/100*GOOGLEFINANCE (""Currency:USDRON"")"),0.182874354561101)</f>
        <v>0.18287435456110099</v>
      </c>
      <c r="M21" s="535">
        <f t="shared" ca="1" si="2"/>
        <v>0.23181434942160845</v>
      </c>
      <c r="N21" s="416" t="e">
        <f>Divident_all!#REF!</f>
        <v>#REF!</v>
      </c>
      <c r="O21" s="416" t="e">
        <f>Divident_all!#REF!</f>
        <v>#REF!</v>
      </c>
      <c r="P21" s="417" t="e">
        <f>Divident_all!#REF!</f>
        <v>#REF!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172"/>
      <c r="B22" s="418" t="e">
        <f>Divident_all!#REF!</f>
        <v>#REF!</v>
      </c>
      <c r="C22" s="418" t="e">
        <f>Divident_all!#REF!</f>
        <v>#REF!</v>
      </c>
      <c r="D22" s="419" t="e">
        <f>Divident_all!#REF!</f>
        <v>#REF!</v>
      </c>
      <c r="E22" s="420">
        <f ca="1">IFERROR(__xludf.DUMMYFUNCTION("(((H22/GOOGLEFINANCE (""Currency:USDRON""))/D22)+F22)"),0.112930091150478)</f>
        <v>0.112930091150478</v>
      </c>
      <c r="F22" s="418" t="e">
        <f>Divident_all!#REF!</f>
        <v>#REF!</v>
      </c>
      <c r="G22" s="419">
        <f ca="1">IFERROR(__xludf.DUMMYFUNCTION("H22/GOOGLEFINANCE (""Currency:USDRON"")"),5.59008988864541)</f>
        <v>5.5900898886454096</v>
      </c>
      <c r="H22" s="421">
        <v>25</v>
      </c>
      <c r="I22" s="422" t="e">
        <f t="shared" ref="I22:I28" si="8">D22/C22</f>
        <v>#REF!</v>
      </c>
      <c r="J22" s="419" t="e">
        <f t="shared" ca="1" si="5"/>
        <v>#REF!</v>
      </c>
      <c r="K22" s="483">
        <f ca="1">IFERROR(__xludf.DUMMYFUNCTION("(F22*C22)/100*GOOGLEFINANCE (""Currency:USDRON"")"),0.619541106491799)</f>
        <v>0.61954110649179905</v>
      </c>
      <c r="L22" s="424">
        <f ca="1">IFERROR(__xludf.DUMMYFUNCTION("(((H22/GOOGLEFINANCE (""Currency:USDRON""))/D22)*C22)/100*GOOGLEFINANCE (""Currency:USDRON"")"),0.173381040727979)</f>
        <v>0.173381040727979</v>
      </c>
      <c r="M22" s="425">
        <f t="shared" ca="1" si="2"/>
        <v>0.27985397403210738</v>
      </c>
      <c r="N22" s="426" t="e">
        <f>Divident_all!#REF!</f>
        <v>#REF!</v>
      </c>
      <c r="O22" s="426" t="e">
        <f>Divident_all!#REF!</f>
        <v>#REF!</v>
      </c>
      <c r="P22" s="427" t="e">
        <f>Divident_all!#REF!</f>
        <v>#REF!</v>
      </c>
      <c r="Q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172"/>
      <c r="B23" s="418" t="e">
        <f>Divident_all!#REF!</f>
        <v>#REF!</v>
      </c>
      <c r="C23" s="418" t="e">
        <f>Divident_all!#REF!</f>
        <v>#REF!</v>
      </c>
      <c r="D23" s="419" t="e">
        <f>Divident_all!#REF!</f>
        <v>#REF!</v>
      </c>
      <c r="E23" s="420">
        <f ca="1">IFERROR(__xludf.DUMMYFUNCTION("(((H23/GOOGLEFINANCE (""Currency:USDRON""))/D23)+F23)"),0.297204634015596)</f>
        <v>0.29720463401559599</v>
      </c>
      <c r="F23" s="418" t="e">
        <f>Divident_all!#REF!</f>
        <v>#REF!</v>
      </c>
      <c r="G23" s="419">
        <f ca="1">IFERROR(__xludf.DUMMYFUNCTION("H23/GOOGLEFINANCE (""Currency:USDRON"")"),4.47207191091632)</f>
        <v>4.4720719109163198</v>
      </c>
      <c r="H23" s="421">
        <v>20</v>
      </c>
      <c r="I23" s="422" t="e">
        <f t="shared" si="8"/>
        <v>#REF!</v>
      </c>
      <c r="J23" s="419" t="e">
        <f t="shared" ca="1" si="5"/>
        <v>#REF!</v>
      </c>
      <c r="K23" s="423">
        <f ca="1">IFERROR(__xludf.DUMMYFUNCTION("(F23*C23)/100*GOOGLEFINANCE (""Currency:USDRON"")"),0.567939704591999)</f>
        <v>0.56793970459199905</v>
      </c>
      <c r="L23" s="424">
        <f ca="1">IFERROR(__xludf.DUMMYFUNCTION("(((H23/GOOGLEFINANCE (""Currency:USDRON""))/D23)*C23)/100*GOOGLEFINANCE (""Currency:USDRON"")"),0.123222748815165)</f>
        <v>0.123222748815165</v>
      </c>
      <c r="M23" s="500">
        <f t="shared" ca="1" si="2"/>
        <v>0.21696449080573918</v>
      </c>
      <c r="N23" s="426" t="e">
        <f>Divident_all!#REF!</f>
        <v>#REF!</v>
      </c>
      <c r="O23" s="426" t="e">
        <f>Divident_all!#REF!</f>
        <v>#REF!</v>
      </c>
      <c r="P23" s="427" t="e">
        <f>Divident_all!#REF!</f>
        <v>#REF!</v>
      </c>
      <c r="Q23" s="172"/>
      <c r="R23" s="290"/>
    </row>
    <row r="24" spans="1:33" ht="12.75">
      <c r="A24" s="172"/>
      <c r="B24" s="391" t="e">
        <f>Divident_all!#REF!</f>
        <v>#REF!</v>
      </c>
      <c r="C24" s="391" t="e">
        <f>Divident_all!#REF!</f>
        <v>#REF!</v>
      </c>
      <c r="D24" s="392" t="e">
        <f>Divident_all!#REF!</f>
        <v>#REF!</v>
      </c>
      <c r="E24" s="393">
        <f ca="1">IFERROR(__xludf.DUMMYFUNCTION("(((H24/GOOGLEFINANCE (""Currency:USDRON""))/D24)+F24)"),0.21843440331412)</f>
        <v>0.21843440331412001</v>
      </c>
      <c r="F24" s="391" t="e">
        <f>Divident_all!#REF!</f>
        <v>#REF!</v>
      </c>
      <c r="G24" s="392">
        <f ca="1">IFERROR(__xludf.DUMMYFUNCTION("H24/GOOGLEFINANCE (""Currency:USDRON"")"),3.35405393318724)</f>
        <v>3.3540539331872399</v>
      </c>
      <c r="H24" s="100">
        <v>15</v>
      </c>
      <c r="I24" s="394" t="e">
        <f t="shared" si="8"/>
        <v>#REF!</v>
      </c>
      <c r="J24" s="392" t="e">
        <f t="shared" ca="1" si="5"/>
        <v>#REF!</v>
      </c>
      <c r="K24" s="395">
        <f ca="1">IFERROR(__xludf.DUMMYFUNCTION("(F24*C24)/100*GOOGLEFINANCE (""Currency:USDRON"")"),0.322702234835999)</f>
        <v>0.32270223483599902</v>
      </c>
      <c r="L24" s="396">
        <f ca="1">IFERROR(__xludf.DUMMYFUNCTION("(((H24/GOOGLEFINANCE (""Currency:USDRON""))/D24)*C24)/100*GOOGLEFINANCE (""Currency:USDRON"")"),0.0656084947183098)</f>
        <v>6.5608494718309804E-2</v>
      </c>
      <c r="M24" s="501">
        <f t="shared" ca="1" si="2"/>
        <v>0.20330970050967509</v>
      </c>
      <c r="N24" s="398" t="e">
        <f>Divident_all!#REF!</f>
        <v>#REF!</v>
      </c>
      <c r="O24" s="398" t="e">
        <f>Divident_all!#REF!</f>
        <v>#REF!</v>
      </c>
      <c r="P24" s="399" t="e">
        <f>Divident_all!#REF!</f>
        <v>#REF!</v>
      </c>
      <c r="Q24" s="172"/>
      <c r="R24" s="290"/>
    </row>
    <row r="25" spans="1:33" ht="12.75">
      <c r="A25" s="172"/>
      <c r="B25" s="280" t="e">
        <f>Divident_all!#REF!</f>
        <v>#REF!</v>
      </c>
      <c r="C25" s="280" t="e">
        <f>Divident_all!#REF!</f>
        <v>#REF!</v>
      </c>
      <c r="D25" s="281" t="e">
        <f>Divident_all!#REF!</f>
        <v>#REF!</v>
      </c>
      <c r="E25" s="282">
        <f ca="1">IFERROR(__xludf.DUMMYFUNCTION("(((H25/GOOGLEFINANCE (""Currency:USDRON""))/D25)+F25)"),0.984602238017271)</f>
        <v>0.98460223801727098</v>
      </c>
      <c r="F25" s="280" t="e">
        <f>Divident_all!#REF!</f>
        <v>#REF!</v>
      </c>
      <c r="G25" s="281">
        <f ca="1">IFERROR(__xludf.DUMMYFUNCTION("H25/GOOGLEFINANCE (""Currency:USDRON"")"),3.35405393318724)</f>
        <v>3.3540539331872399</v>
      </c>
      <c r="H25" s="283">
        <v>15</v>
      </c>
      <c r="I25" s="284" t="e">
        <f t="shared" si="8"/>
        <v>#REF!</v>
      </c>
      <c r="J25" s="281" t="e">
        <f t="shared" ca="1" si="5"/>
        <v>#REF!</v>
      </c>
      <c r="K25" s="330">
        <f ca="1">IFERROR(__xludf.DUMMYFUNCTION("(F25*C25)/100*GOOGLEFINANCE (""Currency:USDRON"")"),1.062088712931)</f>
        <v>1.0620887129309999</v>
      </c>
      <c r="L25" s="286">
        <f ca="1">IFERROR(__xludf.DUMMYFUNCTION("(((H25/GOOGLEFINANCE (""Currency:USDRON""))/D25)*C25)/100*GOOGLEFINANCE (""Currency:USDRON"")"),0.0607625099285146)</f>
        <v>6.0762509928514598E-2</v>
      </c>
      <c r="M25" s="469">
        <f t="shared" ca="1" si="2"/>
        <v>5.721039042099501E-2</v>
      </c>
      <c r="N25" s="288" t="e">
        <f>Divident_all!#REF!</f>
        <v>#REF!</v>
      </c>
      <c r="O25" s="288" t="e">
        <f>Divident_all!#REF!</f>
        <v>#REF!</v>
      </c>
      <c r="P25" s="289" t="e">
        <f>Divident_all!#REF!</f>
        <v>#REF!</v>
      </c>
      <c r="Q25" s="172"/>
      <c r="R25" s="290"/>
    </row>
    <row r="26" spans="1:33" ht="12.75">
      <c r="A26" s="172"/>
      <c r="B26" s="418" t="e">
        <f>Divident_all!#REF!</f>
        <v>#REF!</v>
      </c>
      <c r="C26" s="418" t="e">
        <f>Divident_all!#REF!</f>
        <v>#REF!</v>
      </c>
      <c r="D26" s="419" t="e">
        <f>Divident_all!#REF!</f>
        <v>#REF!</v>
      </c>
      <c r="E26" s="420">
        <f ca="1">IFERROR(__xludf.DUMMYFUNCTION("(((H26/GOOGLEFINANCE (""Currency:USDRON""))/D26)+F26)"),0.0637179681163733)</f>
        <v>6.37179681163733E-2</v>
      </c>
      <c r="F26" s="418" t="e">
        <f>Divident_all!#REF!</f>
        <v>#REF!</v>
      </c>
      <c r="G26" s="419">
        <f ca="1">IFERROR(__xludf.DUMMYFUNCTION("H26/GOOGLEFINANCE (""Currency:USDRON"")"),3.35405393318724)</f>
        <v>3.3540539331872399</v>
      </c>
      <c r="H26" s="421">
        <v>15</v>
      </c>
      <c r="I26" s="422" t="e">
        <f t="shared" si="8"/>
        <v>#REF!</v>
      </c>
      <c r="J26" s="419" t="e">
        <f t="shared" ca="1" si="5"/>
        <v>#REF!</v>
      </c>
      <c r="K26" s="423">
        <f ca="1">IFERROR(__xludf.DUMMYFUNCTION("(F26*C26)/100*GOOGLEFINANCE (""Currency:USDRON"")"),0.355133394908799)</f>
        <v>0.35513339490879903</v>
      </c>
      <c r="L26" s="424">
        <f ca="1">IFERROR(__xludf.DUMMYFUNCTION("(((H26/GOOGLEFINANCE (""Currency:USDRON""))/D26)*C26)/100*GOOGLEFINANCE (""Currency:USDRON"")"),0.0666066606660666)</f>
        <v>6.6606660666066603E-2</v>
      </c>
      <c r="M26" s="500">
        <f t="shared" ca="1" si="2"/>
        <v>0.18755392092363407</v>
      </c>
      <c r="N26" s="426" t="e">
        <f>Divident_all!#REF!</f>
        <v>#REF!</v>
      </c>
      <c r="O26" s="426" t="e">
        <f>Divident_all!#REF!</f>
        <v>#REF!</v>
      </c>
      <c r="P26" s="427" t="e">
        <f>Divident_all!#REF!</f>
        <v>#REF!</v>
      </c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</row>
    <row r="27" spans="1:33" ht="12.75">
      <c r="A27" s="172"/>
      <c r="B27" s="366" t="e">
        <f>Divident_all!#REF!</f>
        <v>#REF!</v>
      </c>
      <c r="C27" s="366" t="e">
        <f>Divident_all!#REF!</f>
        <v>#REF!</v>
      </c>
      <c r="D27" s="367" t="e">
        <f>Divident_all!#REF!</f>
        <v>#REF!</v>
      </c>
      <c r="E27" s="368">
        <f ca="1">IFERROR(__xludf.DUMMYFUNCTION("(((H27/GOOGLEFINANCE (""Currency:USDRON""))/D27)+F27)"),0.110733220606403)</f>
        <v>0.110733220606403</v>
      </c>
      <c r="F27" s="366" t="e">
        <f>Divident_all!#REF!</f>
        <v>#REF!</v>
      </c>
      <c r="G27" s="367">
        <f ca="1">IFERROR(__xludf.DUMMYFUNCTION("H27/GOOGLEFINANCE (""Currency:usdRON"")"),3.35405393318724)</f>
        <v>3.3540539331872399</v>
      </c>
      <c r="H27" s="369">
        <v>15</v>
      </c>
      <c r="I27" s="370" t="e">
        <f t="shared" si="8"/>
        <v>#REF!</v>
      </c>
      <c r="J27" s="367" t="e">
        <f t="shared" ca="1" si="5"/>
        <v>#REF!</v>
      </c>
      <c r="K27" s="371">
        <f ca="1">IFERROR(__xludf.DUMMYFUNCTION("(F27*C27)/100*GOOGLEFINANCE (""Currency:usdRON"")"),0.300406153291199)</f>
        <v>0.30040615329119902</v>
      </c>
      <c r="L27" s="372">
        <f ca="1">IFERROR(__xludf.DUMMYFUNCTION("(((H27/GOOGLEFINANCE (""Currency:usdRON""))/D27)*C27)/100*GOOGLEFINANCE (""Currency:usdRON"")"),0.0363442009620523)</f>
        <v>3.6344200962052299E-2</v>
      </c>
      <c r="M27" s="480">
        <f t="shared" ca="1" si="2"/>
        <v>0.12098354365871464</v>
      </c>
      <c r="N27" s="374" t="e">
        <f>Divident_all!#REF!</f>
        <v>#REF!</v>
      </c>
      <c r="O27" s="374" t="e">
        <f>Divident_all!#REF!</f>
        <v>#REF!</v>
      </c>
      <c r="P27" s="375" t="e">
        <f>Divident_all!#REF!</f>
        <v>#REF!</v>
      </c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</row>
    <row r="28" spans="1:33" ht="12.75">
      <c r="A28" s="172"/>
      <c r="B28" s="366" t="e">
        <f>Divident_all!#REF!</f>
        <v>#REF!</v>
      </c>
      <c r="C28" s="366" t="e">
        <f>Divident_all!#REF!</f>
        <v>#REF!</v>
      </c>
      <c r="D28" s="367" t="e">
        <f>Divident_all!#REF!</f>
        <v>#REF!</v>
      </c>
      <c r="E28" s="368">
        <f ca="1">IFERROR(__xludf.DUMMYFUNCTION("(((H28/GOOGLEFINANCE (""Currency:USDRON""))/D28)+F28)"),0.126117026560968)</f>
        <v>0.12611702656096799</v>
      </c>
      <c r="F28" s="366" t="e">
        <f>Divident_all!#REF!</f>
        <v>#REF!</v>
      </c>
      <c r="G28" s="367">
        <f ca="1">IFERROR(__xludf.DUMMYFUNCTION("H28/GOOGLEFINANCE (""Currency:USDRON"")"),3.35405393318724)</f>
        <v>3.3540539331872399</v>
      </c>
      <c r="H28" s="369">
        <v>15</v>
      </c>
      <c r="I28" s="370" t="e">
        <f t="shared" si="8"/>
        <v>#REF!</v>
      </c>
      <c r="J28" s="367" t="e">
        <f t="shared" ca="1" si="5"/>
        <v>#REF!</v>
      </c>
      <c r="K28" s="371">
        <f ca="1">IFERROR(__xludf.DUMMYFUNCTION("(F28*C28)/100*GOOGLEFINANCE (""Currency:USDRON"")"),0.1146240244368)</f>
        <v>0.1146240244368</v>
      </c>
      <c r="L28" s="372">
        <f ca="1">IFERROR(__xludf.DUMMYFUNCTION("(((H28/GOOGLEFINANCE (""Currency:USDRON""))/D28)*C28)/100*GOOGLEFINANCE (""Currency:USDRON"")"),0.0207409114478308)</f>
        <v>2.0740911447830801E-2</v>
      </c>
      <c r="M28" s="480">
        <f t="shared" ca="1" si="2"/>
        <v>0.18094733237417146</v>
      </c>
      <c r="N28" s="374" t="e">
        <f>Divident_all!#REF!</f>
        <v>#REF!</v>
      </c>
      <c r="O28" s="374" t="e">
        <f>Divident_all!#REF!</f>
        <v>#REF!</v>
      </c>
      <c r="P28" s="375" t="e">
        <f>Divident_all!#REF!</f>
        <v>#REF!</v>
      </c>
      <c r="Q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/>
  </sheetViews>
  <sheetFormatPr defaultColWidth="12.5703125" defaultRowHeight="15.75" customHeight="1"/>
  <sheetData>
    <row r="1" spans="1:14">
      <c r="A1" s="6"/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11</v>
      </c>
      <c r="J1" s="2" t="s">
        <v>36</v>
      </c>
      <c r="K1" s="2" t="s">
        <v>37</v>
      </c>
      <c r="L1" s="2" t="s">
        <v>38</v>
      </c>
      <c r="M1" s="2" t="s">
        <v>39</v>
      </c>
      <c r="N1" s="1" t="s">
        <v>28</v>
      </c>
    </row>
    <row r="2" spans="1:14">
      <c r="A2" s="1">
        <v>2022</v>
      </c>
      <c r="B2" s="46">
        <v>0</v>
      </c>
      <c r="C2" s="46">
        <v>0</v>
      </c>
      <c r="D2" s="46">
        <v>0</v>
      </c>
      <c r="E2" s="46">
        <v>0</v>
      </c>
      <c r="F2" s="46">
        <v>0</v>
      </c>
      <c r="G2" s="46">
        <v>0</v>
      </c>
      <c r="H2" s="46">
        <v>0</v>
      </c>
      <c r="I2" s="46">
        <v>0</v>
      </c>
      <c r="J2" s="47">
        <f>'2022'!D31</f>
        <v>7.4900000000000011</v>
      </c>
      <c r="K2" s="47">
        <f>'2022'!H31</f>
        <v>4.1900000000000004</v>
      </c>
      <c r="L2" s="47">
        <f>'2022'!L31</f>
        <v>7.75</v>
      </c>
      <c r="M2" s="47">
        <f>'2022'!P31</f>
        <v>17.38</v>
      </c>
      <c r="N2" s="15">
        <f t="shared" ref="N2:N3" si="0">SUM(B2:M2)</f>
        <v>36.81</v>
      </c>
    </row>
    <row r="3" spans="1:14">
      <c r="A3" s="1">
        <v>2023</v>
      </c>
      <c r="B3" s="47">
        <f>'2023'!D33</f>
        <v>8.1300000000000008</v>
      </c>
      <c r="C3" s="47">
        <f>'2023'!H33</f>
        <v>14.629999999999999</v>
      </c>
      <c r="D3" s="47">
        <f>'2023'!L33</f>
        <v>24.19</v>
      </c>
      <c r="E3" s="47">
        <f>'2023'!P33</f>
        <v>14.169999999999998</v>
      </c>
      <c r="F3" s="47">
        <f>'2023'!T33</f>
        <v>3.6699999999999995</v>
      </c>
      <c r="G3" s="47">
        <f>'2023'!X33</f>
        <v>0</v>
      </c>
      <c r="H3" s="47">
        <f>'2023'!AB33</f>
        <v>0</v>
      </c>
      <c r="I3" s="47">
        <f>'2023'!AF33</f>
        <v>0</v>
      </c>
      <c r="J3" s="47">
        <f>'2023'!AJ33</f>
        <v>0</v>
      </c>
      <c r="K3" s="47">
        <f>'2023'!AN33</f>
        <v>0</v>
      </c>
      <c r="L3" s="47">
        <f>'2023'!AR33</f>
        <v>0</v>
      </c>
      <c r="M3" s="47">
        <f>'2023'!AV33</f>
        <v>0</v>
      </c>
      <c r="N3" s="15">
        <f t="shared" si="0"/>
        <v>64.790000000000006</v>
      </c>
    </row>
    <row r="4" spans="1:14">
      <c r="A4" s="1">
        <v>2024</v>
      </c>
      <c r="N4" s="6"/>
    </row>
    <row r="5" spans="1:14">
      <c r="A5" s="1">
        <v>2025</v>
      </c>
      <c r="N5" s="6"/>
    </row>
    <row r="6" spans="1:14">
      <c r="A6" s="1">
        <v>2026</v>
      </c>
      <c r="N6" s="6"/>
    </row>
    <row r="7" spans="1:14">
      <c r="A7" s="1">
        <v>2027</v>
      </c>
      <c r="N7" s="6"/>
    </row>
    <row r="8" spans="1:14">
      <c r="A8" s="1">
        <v>2028</v>
      </c>
      <c r="N8" s="6"/>
    </row>
    <row r="9" spans="1:14">
      <c r="A9" s="1">
        <v>2029</v>
      </c>
      <c r="N9" s="6"/>
    </row>
    <row r="10" spans="1:14">
      <c r="A10" s="1">
        <v>2030</v>
      </c>
      <c r="N10" s="6"/>
    </row>
    <row r="11" spans="1:14">
      <c r="A11" s="1">
        <v>2031</v>
      </c>
      <c r="N11" s="6"/>
    </row>
    <row r="12" spans="1:14">
      <c r="A12" s="6"/>
    </row>
    <row r="13" spans="1:14">
      <c r="A13" s="6"/>
    </row>
    <row r="14" spans="1:14">
      <c r="A14" s="1"/>
    </row>
    <row r="15" spans="1:14">
      <c r="A15" s="1"/>
    </row>
    <row r="16" spans="1:1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G28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55</v>
      </c>
      <c r="L2" s="276">
        <f ca="1">((L4*4)*100)/(500+K2)</f>
        <v>5.2305522455478881</v>
      </c>
      <c r="M2" s="13">
        <v>15</v>
      </c>
      <c r="N2" s="13"/>
      <c r="O2" s="13"/>
      <c r="P2" s="13"/>
    </row>
    <row r="3" spans="1:33" ht="15.75" customHeight="1">
      <c r="A3" s="277" t="s">
        <v>38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AVERAGE(C5:C28)</f>
        <v>#REF!</v>
      </c>
      <c r="D4" s="124" t="e">
        <f t="shared" ca="1" si="0"/>
        <v>#REF!</v>
      </c>
      <c r="E4" s="278">
        <f t="shared" ca="1" si="0"/>
        <v>0.49171945944885337</v>
      </c>
      <c r="F4" s="122"/>
      <c r="G4" s="253">
        <f ca="1">SUM(G5:G28)</f>
        <v>137.51621126067698</v>
      </c>
      <c r="H4" s="122">
        <f>500+K2+M2-SUM(H5:H25)</f>
        <v>0</v>
      </c>
      <c r="I4" s="124"/>
      <c r="J4" s="124" t="e">
        <f t="shared" ref="J4:L4" ca="1" si="1">SUM(J5:J28)</f>
        <v>#REF!</v>
      </c>
      <c r="K4" s="129">
        <f t="shared" ca="1" si="1"/>
        <v>25.294365860002369</v>
      </c>
      <c r="L4" s="129">
        <f t="shared" ca="1" si="1"/>
        <v>7.2573912406976948</v>
      </c>
      <c r="M4" s="123">
        <f t="shared" ref="M4:M28" ca="1" si="2">L4/K4</f>
        <v>0.28691730327873954</v>
      </c>
      <c r="N4" s="131"/>
      <c r="O4" s="131"/>
      <c r="P4" s="132"/>
    </row>
    <row r="5" spans="1:33" ht="12.75">
      <c r="A5" s="172"/>
      <c r="B5" s="291" t="str">
        <f>Divident_all!B3</f>
        <v>AMD</v>
      </c>
      <c r="C5" s="291">
        <f>Divident_all!D3</f>
        <v>62.5</v>
      </c>
      <c r="D5" s="292">
        <f ca="1">Divident_all!E3</f>
        <v>24.84</v>
      </c>
      <c r="E5" s="293">
        <f ca="1">IFERROR(__xludf.DUMMYFUNCTION("(((H5/GOOGLEFINANCE (""Currency:USDRON""))/D5)+F5)"),1.32323842689627)</f>
        <v>1.32323842689627</v>
      </c>
      <c r="F5" s="291">
        <f>Divident_all!I3</f>
        <v>1.0081769999999999</v>
      </c>
      <c r="G5" s="292">
        <f ca="1">IFERROR(__xludf.DUMMYFUNCTION("H5/GOOGLEFINANCE (""Currency:USDRON"")"),7.82612584410357)</f>
        <v>7.8261258441035704</v>
      </c>
      <c r="H5" s="294">
        <v>35</v>
      </c>
      <c r="I5" s="295">
        <f t="shared" ref="I5:I12" ca="1" si="3">D5/C5</f>
        <v>0.39744000000000002</v>
      </c>
      <c r="J5" s="292">
        <f t="shared" ref="J5:J28" ca="1" si="4">((E5*C5)/100)</f>
        <v>0.82702401681016879</v>
      </c>
      <c r="K5" s="296">
        <f ca="1">IFERROR(__xludf.DUMMYFUNCTION("(F5*C5)/100*GOOGLEFINANCE (""Currency:USDRON"")"),2.81798073712499)</f>
        <v>2.8179807371249899</v>
      </c>
      <c r="L5" s="297">
        <f ca="1">IFERROR(__xludf.DUMMYFUNCTION("(((H5/GOOGLEFINANCE (""Currency:USDRON""))/D5)*C5)/100*GOOGLEFINANCE (""Currency:USDRON"")"),0.880636070853462)</f>
        <v>0.88063607085346196</v>
      </c>
      <c r="M5" s="298">
        <f t="shared" ca="1" si="2"/>
        <v>0.31250606480437482</v>
      </c>
      <c r="N5" s="299" t="str">
        <f>Divident_all!M3</f>
        <v>Consumer Cyclical</v>
      </c>
      <c r="O5" s="299" t="str">
        <f>Divident_all!N3</f>
        <v>Auto &amp; Truck Dealerships</v>
      </c>
      <c r="P5" s="300">
        <f>Divident_all!O3</f>
        <v>12584</v>
      </c>
      <c r="R5" s="290"/>
    </row>
    <row r="6" spans="1:33" ht="12.75">
      <c r="A6" s="172"/>
      <c r="B6" s="301" t="e">
        <f>Divident_all!#REF!</f>
        <v>#REF!</v>
      </c>
      <c r="C6" s="301" t="e">
        <f>Divident_all!#REF!</f>
        <v>#REF!</v>
      </c>
      <c r="D6" s="302" t="e">
        <f>Divident_all!#REF!</f>
        <v>#REF!</v>
      </c>
      <c r="E6" s="303">
        <f ca="1">IFERROR(__xludf.DUMMYFUNCTION("(((H6/GOOGLEFINANCE (""Currency:USDRON""))/D6)+F6)"),0.713725887215754)</f>
        <v>0.71372588721575403</v>
      </c>
      <c r="F6" s="301" t="e">
        <f>Divident_all!#REF!</f>
        <v>#REF!</v>
      </c>
      <c r="G6" s="302">
        <f ca="1">IFERROR(__xludf.DUMMYFUNCTION("H6/GOOGLEFINANCE (""Currency:USDRON"")"),7.82612584410357)</f>
        <v>7.8261258441035704</v>
      </c>
      <c r="H6" s="304">
        <v>35</v>
      </c>
      <c r="I6" s="305" t="e">
        <f t="shared" si="3"/>
        <v>#REF!</v>
      </c>
      <c r="J6" s="302" t="e">
        <f t="shared" ca="1" si="4"/>
        <v>#REF!</v>
      </c>
      <c r="K6" s="306">
        <f ca="1">IFERROR(__xludf.DUMMYFUNCTION("(F6*C6)/100*GOOGLEFINANCE (""Currency:USDRON"")"),2.295761741876)</f>
        <v>2.2957617418759999</v>
      </c>
      <c r="L6" s="307">
        <f ca="1">IFERROR(__xludf.DUMMYFUNCTION("(((H6/GOOGLEFINANCE (""Currency:USDRON""))/D6)*C6)/100*GOOGLEFINANCE (""Currency:USDRON"")"),0.704647676161919)</f>
        <v>0.70464767616191903</v>
      </c>
      <c r="M6" s="308">
        <f t="shared" ca="1" si="2"/>
        <v>0.30693414883118952</v>
      </c>
      <c r="N6" s="309" t="e">
        <f>Divident_all!#REF!</f>
        <v>#REF!</v>
      </c>
      <c r="O6" s="309" t="e">
        <f>Divident_all!#REF!</f>
        <v>#REF!</v>
      </c>
      <c r="P6" s="310" t="e">
        <f>Divident_all!#REF!</f>
        <v>#REF!</v>
      </c>
      <c r="Q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</row>
    <row r="7" spans="1:33" ht="12.75">
      <c r="A7" s="172"/>
      <c r="B7" s="301" t="e">
        <f>Divident_all!#REF!</f>
        <v>#REF!</v>
      </c>
      <c r="C7" s="301" t="e">
        <f>Divident_all!#REF!</f>
        <v>#REF!</v>
      </c>
      <c r="D7" s="302" t="e">
        <f>Divident_all!#REF!</f>
        <v>#REF!</v>
      </c>
      <c r="E7" s="303">
        <f ca="1">IFERROR(__xludf.DUMMYFUNCTION("(((H7/GOOGLEFINANCE (""Currency:USDRON""))/D7)+F7)"),0.724676995620886)</f>
        <v>0.72467699562088606</v>
      </c>
      <c r="F7" s="301" t="e">
        <f>Divident_all!#REF!</f>
        <v>#REF!</v>
      </c>
      <c r="G7" s="302">
        <f ca="1">IFERROR(__xludf.DUMMYFUNCTION("H7/GOOGLEFINANCE (""Currency:USDRON"")"),7.82612584410357)</f>
        <v>7.8261258441035704</v>
      </c>
      <c r="H7" s="304">
        <v>35</v>
      </c>
      <c r="I7" s="305" t="e">
        <f t="shared" si="3"/>
        <v>#REF!</v>
      </c>
      <c r="J7" s="302" t="e">
        <f t="shared" ca="1" si="4"/>
        <v>#REF!</v>
      </c>
      <c r="K7" s="306">
        <f ca="1">IFERROR(__xludf.DUMMYFUNCTION("(F7*C7)/100*GOOGLEFINANCE (""Currency:USDRON"")"),1.5939746010344)</f>
        <v>1.5939746010344</v>
      </c>
      <c r="L7" s="307">
        <f ca="1">IFERROR(__xludf.DUMMYFUNCTION("(((H7/GOOGLEFINANCE (""Currency:USDRON""))/D7)*C7)/100*GOOGLEFINANCE (""Currency:USDRON"")"),0.694101123595505)</f>
        <v>0.69410112359550502</v>
      </c>
      <c r="M7" s="308">
        <f t="shared" ca="1" si="2"/>
        <v>0.43545306377220339</v>
      </c>
      <c r="N7" s="309" t="e">
        <f>Divident_all!#REF!</f>
        <v>#REF!</v>
      </c>
      <c r="O7" s="309" t="e">
        <f>Divident_all!#REF!</f>
        <v>#REF!</v>
      </c>
      <c r="P7" s="310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172"/>
      <c r="B8" s="331" t="e">
        <f>Divident_all!#REF!</f>
        <v>#REF!</v>
      </c>
      <c r="C8" s="331" t="e">
        <f>Divident_all!#REF!</f>
        <v>#REF!</v>
      </c>
      <c r="D8" s="332" t="e">
        <f>Divident_all!#REF!</f>
        <v>#REF!</v>
      </c>
      <c r="E8" s="333">
        <f ca="1">IFERROR(__xludf.DUMMYFUNCTION("(((H8/GOOGLEFINANCE (""Currency:USDRON""))/D8)+F8)"),2.00888615295494)</f>
        <v>2.0088861529549402</v>
      </c>
      <c r="F8" s="331" t="e">
        <f>Divident_all!#REF!</f>
        <v>#REF!</v>
      </c>
      <c r="G8" s="332">
        <f ca="1">IFERROR(__xludf.DUMMYFUNCTION("H8/GOOGLEFINANCE (""Currency:USDRON"")"),6.70810786637449)</f>
        <v>6.7081078663744904</v>
      </c>
      <c r="H8" s="304">
        <v>30</v>
      </c>
      <c r="I8" s="334" t="e">
        <f t="shared" si="3"/>
        <v>#REF!</v>
      </c>
      <c r="J8" s="332" t="e">
        <f t="shared" ca="1" si="4"/>
        <v>#REF!</v>
      </c>
      <c r="K8" s="335">
        <f ca="1">IFERROR(__xludf.DUMMYFUNCTION("(F8*C8)/100*GOOGLEFINANCE (""Currency:USDRON"")"),1.38385976864399)</f>
        <v>1.38385976864399</v>
      </c>
      <c r="L8" s="336">
        <f ca="1">IFERROR(__xludf.DUMMYFUNCTION("(((H8/GOOGLEFINANCE (""Currency:USDRON""))/D8)*C8)/100*GOOGLEFINANCE (""Currency:USDRON"")"),0.682492581602373)</f>
        <v>0.68249258160237303</v>
      </c>
      <c r="M8" s="534">
        <f t="shared" ca="1" si="2"/>
        <v>0.49318044867445687</v>
      </c>
      <c r="N8" s="337" t="e">
        <f>Divident_all!#REF!</f>
        <v>#REF!</v>
      </c>
      <c r="O8" s="337" t="e">
        <f>Divident_all!#REF!</f>
        <v>#REF!</v>
      </c>
      <c r="P8" s="338" t="e">
        <f>Divident_all!#REF!</f>
        <v>#REF!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172"/>
      <c r="B9" s="311" t="e">
        <f>Divident_all!#REF!</f>
        <v>#REF!</v>
      </c>
      <c r="C9" s="311" t="e">
        <f>Divident_all!#REF!+Divident_special!C20</f>
        <v>#REF!</v>
      </c>
      <c r="D9" s="312" t="e">
        <f>Divident_all!#REF!</f>
        <v>#REF!</v>
      </c>
      <c r="E9" s="313">
        <f ca="1">IFERROR(__xludf.DUMMYFUNCTION("(((H9/GOOGLEFINANCE (""Currency:USDRON""))/D9)+F9)"),0.578659095043178)</f>
        <v>0.57865909504317803</v>
      </c>
      <c r="F9" s="311" t="e">
        <f>Divident_all!#REF!</f>
        <v>#REF!</v>
      </c>
      <c r="G9" s="312">
        <f ca="1">IFERROR(__xludf.DUMMYFUNCTION("H9/GOOGLEFINANCE (""Currency:USDRON"")"),6.70810786637449)</f>
        <v>6.7081078663744904</v>
      </c>
      <c r="H9" s="314">
        <v>30</v>
      </c>
      <c r="I9" s="315" t="e">
        <f t="shared" si="3"/>
        <v>#REF!</v>
      </c>
      <c r="J9" s="312" t="e">
        <f t="shared" ca="1" si="4"/>
        <v>#REF!</v>
      </c>
      <c r="K9" s="316">
        <f ca="1">IFERROR(__xludf.DUMMYFUNCTION("(F9*C9)/100*GOOGLEFINANCE (""Currency:USDRON"")"),1.773029807648)</f>
        <v>1.773029807648</v>
      </c>
      <c r="L9" s="317">
        <f ca="1">IFERROR(__xludf.DUMMYFUNCTION("(((H9/GOOGLEFINANCE (""Currency:USDRON""))/D9)*C9)/100*GOOGLEFINANCE (""Currency:USDRON"")"),0.530182684670373)</f>
        <v>0.53018268467037299</v>
      </c>
      <c r="M9" s="318">
        <f t="shared" ca="1" si="2"/>
        <v>0.29902637980671237</v>
      </c>
      <c r="N9" s="319" t="e">
        <f>Divident_all!#REF!</f>
        <v>#REF!</v>
      </c>
      <c r="O9" s="319" t="e">
        <f>Divident_all!#REF!</f>
        <v>#REF!</v>
      </c>
      <c r="P9" s="320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172"/>
      <c r="B10" s="321" t="e">
        <f>Divident_all!#REF!</f>
        <v>#REF!</v>
      </c>
      <c r="C10" s="321" t="e">
        <f>Divident_all!#REF!</f>
        <v>#REF!</v>
      </c>
      <c r="D10" s="322" t="e">
        <f>Divident_all!#REF!</f>
        <v>#REF!</v>
      </c>
      <c r="E10" s="323">
        <f ca="1">IFERROR(__xludf.DUMMYFUNCTION("(((H10/GOOGLEFINANCE (""Currency:USDRON""))/D10)+F10)"),0.245577498643308)</f>
        <v>0.245577498643308</v>
      </c>
      <c r="F10" s="321" t="e">
        <f>Divident_all!#REF!</f>
        <v>#REF!</v>
      </c>
      <c r="G10" s="322">
        <f ca="1">IFERROR(__xludf.DUMMYFUNCTION("H10/GOOGLEFINANCE (""Currency:usdRON"")"),6.70810786637449)</f>
        <v>6.7081078663744904</v>
      </c>
      <c r="H10" s="324">
        <v>30</v>
      </c>
      <c r="I10" s="325" t="e">
        <f t="shared" si="3"/>
        <v>#REF!</v>
      </c>
      <c r="J10" s="322" t="e">
        <f t="shared" ca="1" si="4"/>
        <v>#REF!</v>
      </c>
      <c r="K10" s="326">
        <f ca="1">IFERROR(__xludf.DUMMYFUNCTION("(F10*C10)/100*GOOGLEFINANCE (""Currency:usdRON"")"),1.525184642794)</f>
        <v>1.5251846427939999</v>
      </c>
      <c r="L10" s="327">
        <f ca="1">IFERROR(__xludf.DUMMYFUNCTION("(((H10/GOOGLEFINANCE (""Currency:usdRON""))/D10)*C10)/100*GOOGLEFINANCE (""Currency:usdRON"")"),0.506617982656321)</f>
        <v>0.50661798265632096</v>
      </c>
      <c r="M10" s="287">
        <f t="shared" ca="1" si="2"/>
        <v>0.33216829519620839</v>
      </c>
      <c r="N10" s="328" t="e">
        <f>Divident_all!#REF!</f>
        <v>#REF!</v>
      </c>
      <c r="O10" s="328" t="e">
        <f>Divident_all!#REF!</f>
        <v>#REF!</v>
      </c>
      <c r="P10" s="329" t="e">
        <f>Divident_all!#REF!</f>
        <v>#REF!</v>
      </c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172"/>
      <c r="B11" s="280" t="e">
        <f>Divident_all!#REF!</f>
        <v>#REF!</v>
      </c>
      <c r="C11" s="280" t="e">
        <f>Divident_all!#REF!</f>
        <v>#REF!</v>
      </c>
      <c r="D11" s="281" t="e">
        <f>Divident_all!#REF!</f>
        <v>#REF!</v>
      </c>
      <c r="E11" s="282">
        <f ca="1">IFERROR(__xludf.DUMMYFUNCTION("(((H11/GOOGLEFINANCE (""Currency:USDRON""))/D11)+F11)"),0.437095700614583)</f>
        <v>0.43709570061458303</v>
      </c>
      <c r="F11" s="280" t="e">
        <f>Divident_all!#REF!</f>
        <v>#REF!</v>
      </c>
      <c r="G11" s="281">
        <f ca="1">IFERROR(__xludf.DUMMYFUNCTION("H11/GOOGLEFINANCE (""Currency:USDRON"")"),6.70810786637449)</f>
        <v>6.7081078663744904</v>
      </c>
      <c r="H11" s="283">
        <v>30</v>
      </c>
      <c r="I11" s="284" t="e">
        <f t="shared" si="3"/>
        <v>#REF!</v>
      </c>
      <c r="J11" s="281" t="e">
        <f t="shared" ca="1" si="4"/>
        <v>#REF!</v>
      </c>
      <c r="K11" s="330">
        <f ca="1">IFERROR(__xludf.DUMMYFUNCTION("(F11*C11)/100*GOOGLEFINANCE (""Currency:USDRON"")"),0.984326568911999)</f>
        <v>0.98432656891199899</v>
      </c>
      <c r="L11" s="286">
        <f ca="1">IFERROR(__xludf.DUMMYFUNCTION("(((H11/GOOGLEFINANCE (""Currency:USDRON""))/D11)*C11)/100*GOOGLEFINANCE (""Currency:USDRON"")"),0.423114593535749)</f>
        <v>0.42311459353574898</v>
      </c>
      <c r="M11" s="287">
        <f t="shared" ca="1" si="2"/>
        <v>0.42985184683516997</v>
      </c>
      <c r="N11" s="288" t="e">
        <f>Divident_all!#REF!</f>
        <v>#REF!</v>
      </c>
      <c r="O11" s="288" t="e">
        <f>Divident_all!#REF!</f>
        <v>#REF!</v>
      </c>
      <c r="P11" s="289" t="e">
        <f>Divident_all!#REF!</f>
        <v>#REF!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172"/>
      <c r="B12" s="331" t="e">
        <f>Divident_all!#REF!</f>
        <v>#REF!</v>
      </c>
      <c r="C12" s="331" t="e">
        <f>Divident_all!#REF!</f>
        <v>#REF!</v>
      </c>
      <c r="D12" s="332" t="e">
        <f>Divident_all!#REF!</f>
        <v>#REF!</v>
      </c>
      <c r="E12" s="333">
        <f ca="1">IFERROR(__xludf.DUMMYFUNCTION("(((H12/GOOGLEFINANCE (""Currency:USDRON""))/D12)+F12)"),0.252884863817229)</f>
        <v>0.25288486381722902</v>
      </c>
      <c r="F12" s="331" t="e">
        <f>Divident_all!#REF!</f>
        <v>#REF!</v>
      </c>
      <c r="G12" s="332">
        <f ca="1">IFERROR(__xludf.DUMMYFUNCTION("H12/GOOGLEFINANCE (""Currency:USDRON"")"),6.70810786637449)</f>
        <v>6.7081078663744904</v>
      </c>
      <c r="H12" s="304">
        <v>30</v>
      </c>
      <c r="I12" s="334" t="e">
        <f t="shared" si="3"/>
        <v>#REF!</v>
      </c>
      <c r="J12" s="332" t="e">
        <f t="shared" ca="1" si="4"/>
        <v>#REF!</v>
      </c>
      <c r="K12" s="335">
        <f ca="1">IFERROR(__xludf.DUMMYFUNCTION("(E12*C12)/100*GOOGLEFINANCE (""Currency:usdRON"")"),1.43630864371353)</f>
        <v>1.43630864371353</v>
      </c>
      <c r="L12" s="336">
        <f ca="1">IFERROR(__xludf.DUMMYFUNCTION("(((H12/GOOGLEFINANCE (""Currency:usdRON""))/D12)*C12)/100*GOOGLEFINANCE (""Currency:usdRON"")"),0.398702385935537)</f>
        <v>0.39870238593553697</v>
      </c>
      <c r="M12" s="308">
        <f t="shared" ca="1" si="2"/>
        <v>0.27758823821090761</v>
      </c>
      <c r="N12" s="337" t="e">
        <f>Divident_all!#REF!</f>
        <v>#REF!</v>
      </c>
      <c r="O12" s="337" t="e">
        <f>Divident_all!#REF!</f>
        <v>#REF!</v>
      </c>
      <c r="P12" s="338" t="e">
        <f>Divident_all!#REF!</f>
        <v>#REF!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172"/>
      <c r="B13" s="280" t="e">
        <f>Divident_all!#REF!</f>
        <v>#REF!</v>
      </c>
      <c r="C13" s="280" t="e">
        <f>Divident_all!#REF!</f>
        <v>#REF!</v>
      </c>
      <c r="D13" s="281" t="e">
        <f>Divident_all!#REF!</f>
        <v>#REF!</v>
      </c>
      <c r="E13" s="282">
        <f ca="1">IFERROR(__xludf.DUMMYFUNCTION("(((H13/GOOGLEFINANCE (""Currency:USDRON""))/D13)+F13)"),1.03788347603454)</f>
        <v>1.0378834760345399</v>
      </c>
      <c r="F13" s="280" t="e">
        <f>Divident_all!#REF!</f>
        <v>#REF!</v>
      </c>
      <c r="G13" s="281">
        <f ca="1">IFERROR(__xludf.DUMMYFUNCTION("H13/GOOGLEFINANCE (""Currency:USDRON"")"),6.70810786637449)</f>
        <v>6.7081078663744904</v>
      </c>
      <c r="H13" s="283">
        <v>30</v>
      </c>
      <c r="I13" s="284" t="e">
        <f>D13/(C13*3)</f>
        <v>#REF!</v>
      </c>
      <c r="J13" s="281" t="e">
        <f t="shared" ca="1" si="4"/>
        <v>#REF!</v>
      </c>
      <c r="K13" s="330">
        <f ca="1">IFERROR(__xludf.DUMMYFUNCTION("(F13*C13)/100*GOOGLEFINANCE (""Currency:USDRON"")"),1.062088712931)</f>
        <v>1.0620887129309999</v>
      </c>
      <c r="L13" s="286">
        <f ca="1">IFERROR(__xludf.DUMMYFUNCTION("(((H13/GOOGLEFINANCE (""Currency:USDRON""))/D13)*C13)/100*GOOGLEFINANCE (""Currency:USDRON"")"),0.121525019857029)</f>
        <v>0.121525019857029</v>
      </c>
      <c r="M13" s="287">
        <f t="shared" ca="1" si="2"/>
        <v>0.11442078084198984</v>
      </c>
      <c r="N13" s="288" t="e">
        <f>Divident_all!#REF!</f>
        <v>#REF!</v>
      </c>
      <c r="O13" s="288" t="e">
        <f>Divident_all!#REF!</f>
        <v>#REF!</v>
      </c>
      <c r="P13" s="289" t="e">
        <f>Divident_all!#REF!</f>
        <v>#REF!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172"/>
      <c r="B14" s="339" t="e">
        <f>Divident_all!#REF!</f>
        <v>#REF!</v>
      </c>
      <c r="C14" s="339" t="e">
        <f>Divident_all!#REF!</f>
        <v>#REF!</v>
      </c>
      <c r="D14" s="340" t="e">
        <f>Divident_all!#REF!</f>
        <v>#REF!</v>
      </c>
      <c r="E14" s="341">
        <f ca="1">IFERROR(__xludf.DUMMYFUNCTION("(((H14/GOOGLEFINANCE (""Currency:USDRON""))/D14)+F14)"),0.327712322502786)</f>
        <v>0.32771232250278598</v>
      </c>
      <c r="F14" s="339" t="e">
        <f>Divident_all!#REF!</f>
        <v>#REF!</v>
      </c>
      <c r="G14" s="340">
        <f ca="1">IFERROR(__xludf.DUMMYFUNCTION("H14/GOOGLEFINANCE (""Currency:USDRON"")"),6.70810786637449)</f>
        <v>6.7081078663744904</v>
      </c>
      <c r="H14" s="342">
        <v>30</v>
      </c>
      <c r="I14" s="343" t="e">
        <f t="shared" ref="I14:I28" si="5">D14/C14</f>
        <v>#REF!</v>
      </c>
      <c r="J14" s="340" t="e">
        <f t="shared" ca="1" si="4"/>
        <v>#REF!</v>
      </c>
      <c r="K14" s="344">
        <f ca="1">IFERROR(__xludf.DUMMYFUNCTION("(F14*C14)/100*GOOGLEFINANCE (""Currency:USDRON"")"),1.4474658030876)</f>
        <v>1.4474658030876</v>
      </c>
      <c r="L14" s="345">
        <f ca="1">IFERROR(__xludf.DUMMYFUNCTION("(((H14/GOOGLEFINANCE (""Currency:USDRON""))/D14)*C14)/100*GOOGLEFINANCE (""Currency:USDRON"")"),0.340560156322694)</f>
        <v>0.34056015632269399</v>
      </c>
      <c r="M14" s="346">
        <f t="shared" ca="1" si="2"/>
        <v>0.23528027784576505</v>
      </c>
      <c r="N14" s="347" t="e">
        <f>Divident_all!#REF!</f>
        <v>#REF!</v>
      </c>
      <c r="O14" s="347" t="e">
        <f>Divident_all!#REF!</f>
        <v>#REF!</v>
      </c>
      <c r="P14" s="348" t="e">
        <f>Divident_all!#REF!</f>
        <v>#REF!</v>
      </c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</row>
    <row r="15" spans="1:33" ht="12.75">
      <c r="A15" s="172"/>
      <c r="B15" s="301" t="e">
        <f>Divident_all!#REF!</f>
        <v>#REF!</v>
      </c>
      <c r="C15" s="301" t="e">
        <f>Divident_all!#REF!</f>
        <v>#REF!</v>
      </c>
      <c r="D15" s="302" t="e">
        <f>Divident_all!#REF!</f>
        <v>#REF!</v>
      </c>
      <c r="E15" s="303">
        <f ca="1">IFERROR(__xludf.DUMMYFUNCTION("(((H15/GOOGLEFINANCE (""Currency:USDRON""))/D15)+F15)"),0.112217645313716)</f>
        <v>0.112217645313716</v>
      </c>
      <c r="F15" s="301" t="e">
        <f>Divident_all!#REF!</f>
        <v>#REF!</v>
      </c>
      <c r="G15" s="302">
        <f ca="1">IFERROR(__xludf.DUMMYFUNCTION("H15/GOOGLEFINANCE (""Currency:usdRON"")"),5.59008988864541)</f>
        <v>5.5900898886454096</v>
      </c>
      <c r="H15" s="304">
        <v>25</v>
      </c>
      <c r="I15" s="305" t="e">
        <f t="shared" si="5"/>
        <v>#REF!</v>
      </c>
      <c r="J15" s="302" t="e">
        <f t="shared" ca="1" si="4"/>
        <v>#REF!</v>
      </c>
      <c r="K15" s="306">
        <f ca="1">IFERROR(__xludf.DUMMYFUNCTION("(F15*C15)/100*GOOGLEFINANCE (""Currency:usdRON"")"),0.3889984764676)</f>
        <v>0.3889984764676</v>
      </c>
      <c r="L15" s="307">
        <f ca="1">IFERROR(__xludf.DUMMYFUNCTION("(((H15/GOOGLEFINANCE (""Currency:usdRON""))/D15)*C15)/100*GOOGLEFINANCE (""Currency:usdRON"")"),0.203196032511365)</f>
        <v>0.203196032511365</v>
      </c>
      <c r="M15" s="308">
        <f t="shared" ca="1" si="2"/>
        <v>0.52235688519024148</v>
      </c>
      <c r="N15" s="309" t="e">
        <f>Divident_all!#REF!</f>
        <v>#REF!</v>
      </c>
      <c r="O15" s="309" t="e">
        <f>Divident_all!#REF!</f>
        <v>#REF!</v>
      </c>
      <c r="P15" s="310" t="e">
        <f>Divident_all!#REF!</f>
        <v>#REF!</v>
      </c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172"/>
      <c r="B16" s="357" t="e">
        <f>Divident_all!#REF!</f>
        <v>#REF!</v>
      </c>
      <c r="C16" s="357" t="e">
        <f>Divident_all!#REF!</f>
        <v>#REF!</v>
      </c>
      <c r="D16" s="358" t="e">
        <f>Divident_all!#REF!</f>
        <v>#REF!</v>
      </c>
      <c r="E16" s="359">
        <f ca="1">IFERROR(__xludf.DUMMYFUNCTION("(((H16/GOOGLEFINANCE (""Currency:USDRON""))/D16)+F16)"),0.0290562316668324)</f>
        <v>2.90562316668324E-2</v>
      </c>
      <c r="F16" s="357" t="e">
        <f>Divident_all!#REF!</f>
        <v>#REF!</v>
      </c>
      <c r="G16" s="358">
        <f ca="1">IFERROR(__xludf.DUMMYFUNCTION("H16/GOOGLEFINANCE (""Currency:USDRON"")"),5.59008988864541)</f>
        <v>5.5900898886454096</v>
      </c>
      <c r="H16" s="294">
        <v>25</v>
      </c>
      <c r="I16" s="360" t="e">
        <f t="shared" si="5"/>
        <v>#REF!</v>
      </c>
      <c r="J16" s="358" t="e">
        <f t="shared" ca="1" si="4"/>
        <v>#REF!</v>
      </c>
      <c r="K16" s="361">
        <f ca="1">IFERROR(__xludf.DUMMYFUNCTION("(F16*C16)/100*GOOGLEFINANCE (""Currency:USDRON"")"),0.71005029956)</f>
        <v>0.71005029955999999</v>
      </c>
      <c r="L16" s="362">
        <f ca="1">IFERROR(__xludf.DUMMYFUNCTION("(((H16/GOOGLEFINANCE (""Currency:USDRON""))/D16)*C16)/100*GOOGLEFINANCE (""Currency:USDRON"")"),0.199566655262857)</f>
        <v>0.199566655262857</v>
      </c>
      <c r="M16" s="363">
        <f t="shared" ca="1" si="2"/>
        <v>0.28105988461172871</v>
      </c>
      <c r="N16" s="364" t="e">
        <f>Divident_all!#REF!</f>
        <v>#REF!</v>
      </c>
      <c r="O16" s="364" t="e">
        <f>Divident_all!#REF!</f>
        <v>#REF!</v>
      </c>
      <c r="P16" s="365" t="e">
        <f>Divident_all!#REF!</f>
        <v>#REF!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172"/>
      <c r="B17" s="321" t="e">
        <f>Divident_all!#REF!</f>
        <v>#REF!</v>
      </c>
      <c r="C17" s="321" t="e">
        <f>Divident_all!#REF!</f>
        <v>#REF!</v>
      </c>
      <c r="D17" s="322" t="e">
        <f>Divident_all!#REF!</f>
        <v>#REF!</v>
      </c>
      <c r="E17" s="323">
        <f ca="1">IFERROR(__xludf.DUMMYFUNCTION("(((H17/GOOGLEFINANCE (""Currency:USDRON""))/D17)+F17)"),0.0749251468292015)</f>
        <v>7.4925146829201497E-2</v>
      </c>
      <c r="F17" s="321" t="e">
        <f>Divident_all!#REF!</f>
        <v>#REF!</v>
      </c>
      <c r="G17" s="322">
        <f ca="1">IFERROR(__xludf.DUMMYFUNCTION("H17/GOOGLEFINANCE (""Currency:usdRON"")"),5.59008988864541)</f>
        <v>5.5900898886454096</v>
      </c>
      <c r="H17" s="324">
        <v>25</v>
      </c>
      <c r="I17" s="325" t="e">
        <f t="shared" si="5"/>
        <v>#REF!</v>
      </c>
      <c r="J17" s="322" t="e">
        <f t="shared" ca="1" si="4"/>
        <v>#REF!</v>
      </c>
      <c r="K17" s="326">
        <f ca="1">IFERROR(__xludf.DUMMYFUNCTION("(F17*C17)/100*GOOGLEFINANCE (""Currency:usdRON"")"),0.324504084215999)</f>
        <v>0.32450408421599902</v>
      </c>
      <c r="L17" s="327">
        <f ca="1">IFERROR(__xludf.DUMMYFUNCTION("(((H17/GOOGLEFINANCE (""Currency:usdRON""))/D17)*C17)/100*GOOGLEFINANCE (""Currency:usdRON"")"),0.198221092757306)</f>
        <v>0.19822109275730601</v>
      </c>
      <c r="M17" s="287">
        <f t="shared" ca="1" si="2"/>
        <v>0.6108431369552948</v>
      </c>
      <c r="N17" s="328" t="e">
        <f>Divident_all!#REF!</f>
        <v>#REF!</v>
      </c>
      <c r="O17" s="328" t="e">
        <f>Divident_all!#REF!</f>
        <v>#REF!</v>
      </c>
      <c r="P17" s="329" t="e">
        <f>Divident_all!#REF!</f>
        <v>#REF!</v>
      </c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172"/>
      <c r="B18" s="280" t="e">
        <f>Divident_all!#REF!</f>
        <v>#REF!</v>
      </c>
      <c r="C18" s="280" t="e">
        <f>Divident_all!#REF!</f>
        <v>#REF!</v>
      </c>
      <c r="D18" s="281" t="e">
        <f>Divident_all!#REF!</f>
        <v>#REF!</v>
      </c>
      <c r="E18" s="282">
        <f ca="1">IFERROR(__xludf.DUMMYFUNCTION("(((H18/GOOGLEFINANCE (""Currency:USDRON""))/D18)+F18)"),1.94928242526348)</f>
        <v>1.9492824252634799</v>
      </c>
      <c r="F18" s="280" t="e">
        <f>Divident_all!#REF!</f>
        <v>#REF!</v>
      </c>
      <c r="G18" s="281">
        <f ca="1">IFERROR(__xludf.DUMMYFUNCTION("H18/GOOGLEFINANCE (""Currency:USDRON"")"),5.59008988864541)</f>
        <v>5.5900898886454096</v>
      </c>
      <c r="H18" s="283">
        <v>25</v>
      </c>
      <c r="I18" s="284" t="e">
        <f t="shared" si="5"/>
        <v>#REF!</v>
      </c>
      <c r="J18" s="281" t="e">
        <f t="shared" ca="1" si="4"/>
        <v>#REF!</v>
      </c>
      <c r="K18" s="285">
        <f ca="1">IFERROR(__xludf.DUMMYFUNCTION("(F18*C18)/100*GOOGLEFINANCE (""Currency:USDRON"")"),2.234805186295)</f>
        <v>2.234805186295</v>
      </c>
      <c r="L18" s="286">
        <f ca="1">IFERROR(__xludf.DUMMYFUNCTION("(((H18/GOOGLEFINANCE (""Currency:USDRON""))/D18)*C18)/100*GOOGLEFINANCE (""Currency:USDRON"")"),0.162529550827423)</f>
        <v>0.16252955082742301</v>
      </c>
      <c r="M18" s="287">
        <f t="shared" ca="1" si="2"/>
        <v>7.2726496172525301E-2</v>
      </c>
      <c r="N18" s="288" t="e">
        <f>Divident_all!#REF!</f>
        <v>#REF!</v>
      </c>
      <c r="O18" s="288" t="e">
        <f>Divident_all!#REF!</f>
        <v>#REF!</v>
      </c>
      <c r="P18" s="289" t="e">
        <f>Divident_all!#REF!</f>
        <v>#REF!</v>
      </c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172"/>
      <c r="B19" s="301" t="e">
        <f>Divident_all!#REF!</f>
        <v>#REF!</v>
      </c>
      <c r="C19" s="301" t="e">
        <f>Divident_all!#REF!</f>
        <v>#REF!</v>
      </c>
      <c r="D19" s="302" t="e">
        <f>Divident_all!#REF!</f>
        <v>#REF!</v>
      </c>
      <c r="E19" s="303">
        <f ca="1">IFERROR(__xludf.DUMMYFUNCTION("(((H19/GOOGLEFINANCE (""Currency:USDRON""))/D19)+F19)"),0.434207867676435)</f>
        <v>0.43420786767643499</v>
      </c>
      <c r="F19" s="301" t="e">
        <f>Divident_all!#REF!</f>
        <v>#REF!</v>
      </c>
      <c r="G19" s="302">
        <f ca="1">IFERROR(__xludf.DUMMYFUNCTION("H19/GOOGLEFINANCE (""Currency:USDRON"")"),5.59008988864541)</f>
        <v>5.5900898886454096</v>
      </c>
      <c r="H19" s="304">
        <v>25</v>
      </c>
      <c r="I19" s="305" t="e">
        <f t="shared" si="5"/>
        <v>#REF!</v>
      </c>
      <c r="J19" s="302" t="e">
        <f t="shared" ca="1" si="4"/>
        <v>#REF!</v>
      </c>
      <c r="K19" s="306">
        <f ca="1">IFERROR(__xludf.DUMMYFUNCTION("(F19*C19)/100*GOOGLEFINANCE (""Currency:USDRON"")"),0.71362627068)</f>
        <v>0.71362627067999995</v>
      </c>
      <c r="L19" s="307">
        <f ca="1">IFERROR(__xludf.DUMMYFUNCTION("(((H19/GOOGLEFINANCE (""Currency:USDRON""))/D19)*C19)/100*GOOGLEFINANCE (""Currency:USDRON"")"),0.179631365198375)</f>
        <v>0.179631365198375</v>
      </c>
      <c r="M19" s="308">
        <f t="shared" ca="1" si="2"/>
        <v>0.25171630106499293</v>
      </c>
      <c r="N19" s="309" t="e">
        <f>Divident_all!#REF!</f>
        <v>#REF!</v>
      </c>
      <c r="O19" s="309" t="e">
        <f>Divident_all!#REF!</f>
        <v>#REF!</v>
      </c>
      <c r="P19" s="310" t="e">
        <f>Divident_all!#REF!</f>
        <v>#REF!</v>
      </c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172"/>
      <c r="B20" s="408" t="e">
        <f>Divident_all!#REF!</f>
        <v>#REF!</v>
      </c>
      <c r="C20" s="408" t="e">
        <f>Divident_all!#REF!</f>
        <v>#REF!</v>
      </c>
      <c r="D20" s="409" t="e">
        <f>Divident_all!#REF!</f>
        <v>#REF!</v>
      </c>
      <c r="E20" s="410">
        <f ca="1">IFERROR(__xludf.DUMMYFUNCTION("(((H20/GOOGLEFINANCE (""Currency:USDRON""))/D20)+F20)"),0.182595290094943)</f>
        <v>0.18259529009494299</v>
      </c>
      <c r="F20" s="408" t="e">
        <f>Divident_all!#REF!</f>
        <v>#REF!</v>
      </c>
      <c r="G20" s="409">
        <f ca="1">IFERROR(__xludf.DUMMYFUNCTION("H20/GOOGLEFINANCE (""Currency:USDRON"")"),5.59008988864541)</f>
        <v>5.5900898886454096</v>
      </c>
      <c r="H20" s="411">
        <v>25</v>
      </c>
      <c r="I20" s="412" t="e">
        <f t="shared" si="5"/>
        <v>#REF!</v>
      </c>
      <c r="J20" s="409" t="e">
        <f t="shared" ca="1" si="4"/>
        <v>#REF!</v>
      </c>
      <c r="K20" s="413">
        <f ca="1">IFERROR(__xludf.DUMMYFUNCTION("(F20*C20)/100*GOOGLEFINANCE (""Currency:USDRON"")"),0.7888828065104)</f>
        <v>0.78888280651039999</v>
      </c>
      <c r="L20" s="414">
        <f ca="1">IFERROR(__xludf.DUMMYFUNCTION("(((H20/GOOGLEFINANCE (""Currency:USDRON""))/D20)*C20)/100*GOOGLEFINANCE (""Currency:USDRON"")"),0.182874354561101)</f>
        <v>0.18287435456110099</v>
      </c>
      <c r="M20" s="535">
        <f t="shared" ca="1" si="2"/>
        <v>0.23181434942160845</v>
      </c>
      <c r="N20" s="416" t="e">
        <f>Divident_all!#REF!</f>
        <v>#REF!</v>
      </c>
      <c r="O20" s="416" t="e">
        <f>Divident_all!#REF!</f>
        <v>#REF!</v>
      </c>
      <c r="P20" s="417" t="e">
        <f>Divident_all!#REF!</f>
        <v>#REF!</v>
      </c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172"/>
      <c r="B21" s="349" t="e">
        <f>Divident_all!#REF!</f>
        <v>#REF!</v>
      </c>
      <c r="C21" s="349" t="e">
        <f>Divident_all!#REF!</f>
        <v>#REF!</v>
      </c>
      <c r="D21" s="350" t="e">
        <f>Divident_all!#REF!</f>
        <v>#REF!</v>
      </c>
      <c r="E21" s="351">
        <f ca="1">IFERROR(__xludf.DUMMYFUNCTION("(((H21/GOOGLEFINANCE (""Currency:USDRON""))/D21)+F21)"),0.117269639800887)</f>
        <v>0.117269639800887</v>
      </c>
      <c r="F21" s="349" t="e">
        <f>Divident_all!#REF!</f>
        <v>#REF!</v>
      </c>
      <c r="G21" s="350">
        <f ca="1">IFERROR(__xludf.DUMMYFUNCTION("H21/GOOGLEFINANCE (""Currency:USDRON"")"),5.59008988864541)</f>
        <v>5.5900898886454096</v>
      </c>
      <c r="H21" s="352">
        <v>25</v>
      </c>
      <c r="I21" s="353" t="e">
        <f t="shared" si="5"/>
        <v>#REF!</v>
      </c>
      <c r="J21" s="350" t="e">
        <f t="shared" ca="1" si="4"/>
        <v>#REF!</v>
      </c>
      <c r="K21" s="344">
        <f ca="1">IFERROR(__xludf.DUMMYFUNCTION("(F21*C21)/100*GOOGLEFINANCE (""Currency:USDRON"")"),0.215175766215)</f>
        <v>0.21517576621500001</v>
      </c>
      <c r="L21" s="354">
        <f ca="1">IFERROR(__xludf.DUMMYFUNCTION("(((H21/GOOGLEFINANCE (""Currency:USDRON""))/D21)*C21)/100*GOOGLEFINANCE (""Currency:USDRON"")"),0.178164196123147)</f>
        <v>0.17816419612314699</v>
      </c>
      <c r="M21" s="346">
        <f t="shared" ca="1" si="2"/>
        <v>0.82799378042008842</v>
      </c>
      <c r="N21" s="355" t="e">
        <f>Divident_all!#REF!</f>
        <v>#REF!</v>
      </c>
      <c r="O21" s="355" t="e">
        <f>Divident_all!#REF!</f>
        <v>#REF!</v>
      </c>
      <c r="P21" s="356" t="e">
        <f>Divident_all!#REF!</f>
        <v>#REF!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172"/>
      <c r="B22" s="331" t="e">
        <f>Divident_all!#REF!</f>
        <v>#REF!</v>
      </c>
      <c r="C22" s="331" t="e">
        <f>Divident_all!#REF!</f>
        <v>#REF!</v>
      </c>
      <c r="D22" s="332" t="e">
        <f>Divident_all!#REF!</f>
        <v>#REF!</v>
      </c>
      <c r="E22" s="333">
        <f ca="1">IFERROR(__xludf.DUMMYFUNCTION("(((H22/GOOGLEFINANCE (""Currency:USDRON""))/D22)+F22)"),0.107603679090525)</f>
        <v>0.107603679090525</v>
      </c>
      <c r="F22" s="331" t="e">
        <f>Divident_all!#REF!</f>
        <v>#REF!</v>
      </c>
      <c r="G22" s="332">
        <f ca="1">IFERROR(__xludf.DUMMYFUNCTION("H22/GOOGLEFINANCE (""Currency:USDRON"")"),4.47207191091632)</f>
        <v>4.4720719109163198</v>
      </c>
      <c r="H22" s="304">
        <v>20</v>
      </c>
      <c r="I22" s="334" t="e">
        <f t="shared" si="5"/>
        <v>#REF!</v>
      </c>
      <c r="J22" s="332" t="e">
        <f t="shared" ca="1" si="4"/>
        <v>#REF!</v>
      </c>
      <c r="K22" s="335">
        <f ca="1">IFERROR(__xludf.DUMMYFUNCTION("(F22*C22)/100*GOOGLEFINANCE (""Currency:USDRON"")"),0.4785187230054)</f>
        <v>0.47851872300539999</v>
      </c>
      <c r="L22" s="336">
        <f ca="1">IFERROR(__xludf.DUMMYFUNCTION("(((H22/GOOGLEFINANCE (""Currency:USDRON""))/D22)*C22)/100*GOOGLEFINANCE (""Currency:USDRON"")"),0.130231121634838)</f>
        <v>0.13023112163483799</v>
      </c>
      <c r="M22" s="308">
        <f t="shared" ca="1" si="2"/>
        <v>0.27215470445315965</v>
      </c>
      <c r="N22" s="337" t="e">
        <f>Divident_all!#REF!</f>
        <v>#REF!</v>
      </c>
      <c r="O22" s="337" t="e">
        <f>Divident_all!#REF!</f>
        <v>#REF!</v>
      </c>
      <c r="P22" s="338" t="e">
        <f>Divident_all!#REF!</f>
        <v>#REF!</v>
      </c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172"/>
      <c r="B23" s="291" t="e">
        <f>Divident_all!#REF!</f>
        <v>#REF!</v>
      </c>
      <c r="C23" s="291" t="e">
        <f>Divident_all!#REF!</f>
        <v>#REF!</v>
      </c>
      <c r="D23" s="292" t="e">
        <f>Divident_all!#REF!</f>
        <v>#REF!</v>
      </c>
      <c r="E23" s="293">
        <f ca="1">IFERROR(__xludf.DUMMYFUNCTION("(((H23/GOOGLEFINANCE (""Currency:USDRON""))/D23)+F23)"),0.0550476064232793)</f>
        <v>5.5047606423279299E-2</v>
      </c>
      <c r="F23" s="291" t="e">
        <f>Divident_all!#REF!</f>
        <v>#REF!</v>
      </c>
      <c r="G23" s="292">
        <f ca="1">IFERROR(__xludf.DUMMYFUNCTION("H23/GOOGLEFINANCE (""Currency:USDRON"")"),4.47207191091632)</f>
        <v>4.4720719109163198</v>
      </c>
      <c r="H23" s="294">
        <v>20</v>
      </c>
      <c r="I23" s="295" t="e">
        <f t="shared" si="5"/>
        <v>#REF!</v>
      </c>
      <c r="J23" s="292" t="e">
        <f t="shared" ca="1" si="4"/>
        <v>#REF!</v>
      </c>
      <c r="K23" s="296">
        <f ca="1">IFERROR(__xludf.DUMMYFUNCTION("(F23*C23)/100*GOOGLEFINANCE (""Currency:USDRON"")"),0.124509603399)</f>
        <v>0.124509603399</v>
      </c>
      <c r="L23" s="297">
        <f ca="1">IFERROR(__xludf.DUMMYFUNCTION("(((H23/GOOGLEFINANCE (""Currency:USDRON""))/D23)*C23)/100*GOOGLEFINANCE (""Currency:USDRON"")"),0.10936510677488)</f>
        <v>0.10936510677488</v>
      </c>
      <c r="M23" s="298">
        <f t="shared" ca="1" si="2"/>
        <v>0.8783668390976368</v>
      </c>
      <c r="N23" s="299" t="e">
        <f>Divident_all!#REF!</f>
        <v>#REF!</v>
      </c>
      <c r="O23" s="299" t="e">
        <f>Divident_all!#REF!</f>
        <v>#REF!</v>
      </c>
      <c r="P23" s="300" t="e">
        <f>Divident_all!#REF!</f>
        <v>#REF!</v>
      </c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</row>
    <row r="24" spans="1:33" ht="12.75">
      <c r="A24" s="172"/>
      <c r="B24" s="366" t="e">
        <f>Divident_all!#REF!</f>
        <v>#REF!</v>
      </c>
      <c r="C24" s="366" t="e">
        <f>Divident_all!#REF!</f>
        <v>#REF!</v>
      </c>
      <c r="D24" s="367" t="e">
        <f>Divident_all!#REF!</f>
        <v>#REF!</v>
      </c>
      <c r="E24" s="368">
        <f ca="1">IFERROR(__xludf.DUMMYFUNCTION("(((H24/GOOGLEFINANCE (""Currency:USDRON""))/D24)+F24)"),0.140166159320797)</f>
        <v>0.14016615932079701</v>
      </c>
      <c r="F24" s="366" t="e">
        <f>Divident_all!#REF!</f>
        <v>#REF!</v>
      </c>
      <c r="G24" s="367">
        <f ca="1">IFERROR(__xludf.DUMMYFUNCTION("H24/GOOGLEFINANCE (""Currency:USDRON"")"),4.47207191091632)</f>
        <v>4.4720719109163198</v>
      </c>
      <c r="H24" s="369">
        <v>20</v>
      </c>
      <c r="I24" s="370" t="e">
        <f t="shared" si="5"/>
        <v>#REF!</v>
      </c>
      <c r="J24" s="367" t="e">
        <f t="shared" ca="1" si="4"/>
        <v>#REF!</v>
      </c>
      <c r="K24" s="371">
        <f ca="1">IFERROR(__xludf.DUMMYFUNCTION("(F24*C24)/100*GOOGLEFINANCE (""Currency:USDRON"")"),0.3543950168)</f>
        <v>0.35439501680000002</v>
      </c>
      <c r="L24" s="372">
        <f ca="1">IFERROR(__xludf.DUMMYFUNCTION("(((H24/GOOGLEFINANCE (""Currency:USDRON""))/D24)*C24)/100*GOOGLEFINANCE (""Currency:USDRON"")"),0.147085861371575)</f>
        <v>0.14708586137157501</v>
      </c>
      <c r="M24" s="373">
        <f t="shared" ca="1" si="2"/>
        <v>0.41503366130732511</v>
      </c>
      <c r="N24" s="374" t="e">
        <f>Divident_all!#REF!</f>
        <v>#REF!</v>
      </c>
      <c r="O24" s="374" t="e">
        <f>Divident_all!#REF!</f>
        <v>#REF!</v>
      </c>
      <c r="P24" s="375" t="e">
        <f>Divident_all!#REF!</f>
        <v>#REF!</v>
      </c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</row>
    <row r="25" spans="1:33" ht="12.75">
      <c r="A25" s="172"/>
      <c r="B25" s="357" t="e">
        <f>Divident_all!#REF!</f>
        <v>#REF!</v>
      </c>
      <c r="C25" s="357" t="e">
        <f>Divident_all!#REF!</f>
        <v>#REF!</v>
      </c>
      <c r="D25" s="358" t="e">
        <f>Divident_all!#REF!</f>
        <v>#REF!</v>
      </c>
      <c r="E25" s="359">
        <f ca="1">IFERROR(__xludf.DUMMYFUNCTION("(((H25/GOOGLEFINANCE (""Currency:USDRON""))/D25)+F25)"),0.102830387966676)</f>
        <v>0.102830387966676</v>
      </c>
      <c r="F25" s="357" t="e">
        <f>Divident_all!#REF!</f>
        <v>#REF!</v>
      </c>
      <c r="G25" s="358">
        <f ca="1">IFERROR(__xludf.DUMMYFUNCTION("H25/GOOGLEFINANCE (""Currency:USDRON"")"),4.47207191091632)</f>
        <v>4.4720719109163198</v>
      </c>
      <c r="H25" s="294">
        <v>20</v>
      </c>
      <c r="I25" s="360" t="e">
        <f t="shared" si="5"/>
        <v>#REF!</v>
      </c>
      <c r="J25" s="358" t="e">
        <f t="shared" ca="1" si="4"/>
        <v>#REF!</v>
      </c>
      <c r="K25" s="361">
        <f ca="1">IFERROR(__xludf.DUMMYFUNCTION("(F25*C25)/100*GOOGLEFINANCE (""Currency:USDRON"")"),0.5965197101344)</f>
        <v>0.59651971013439997</v>
      </c>
      <c r="L25" s="362">
        <f ca="1">IFERROR(__xludf.DUMMYFUNCTION("(((H25/GOOGLEFINANCE (""Currency:USDRON""))/D25)*C25)/100*GOOGLEFINANCE (""Currency:USDRON"")"),0.102494942683749)</f>
        <v>0.10249494268374899</v>
      </c>
      <c r="M25" s="363">
        <f t="shared" ca="1" si="2"/>
        <v>0.17182155248592906</v>
      </c>
      <c r="N25" s="364" t="e">
        <f>Divident_all!#REF!</f>
        <v>#REF!</v>
      </c>
      <c r="O25" s="364" t="e">
        <f>Divident_all!#REF!</f>
        <v>#REF!</v>
      </c>
      <c r="P25" s="365" t="e">
        <f>Divident_all!#REF!</f>
        <v>#REF!</v>
      </c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</row>
    <row r="26" spans="1:33" ht="12.75">
      <c r="A26" s="172"/>
      <c r="B26" s="366" t="e">
        <f>Divident_all!#REF!</f>
        <v>#REF!</v>
      </c>
      <c r="C26" s="366" t="e">
        <f>Divident_all!#REF!</f>
        <v>#REF!</v>
      </c>
      <c r="D26" s="367" t="e">
        <f>Divident_all!#REF!</f>
        <v>#REF!</v>
      </c>
      <c r="E26" s="368">
        <f ca="1">IFERROR(__xludf.DUMMYFUNCTION("(((H26/GOOGLEFINANCE (""Currency:USDRON""))/D26)+F26)"),0.20539538982214)</f>
        <v>0.20539538982214001</v>
      </c>
      <c r="F26" s="366" t="e">
        <f>Divident_all!#REF!</f>
        <v>#REF!</v>
      </c>
      <c r="G26" s="367">
        <f ca="1">IFERROR(__xludf.DUMMYFUNCTION("H26/GOOGLEFINANCE (""Currency:USDRON"")"),3.35405393318724)</f>
        <v>3.3540539331872399</v>
      </c>
      <c r="H26" s="369">
        <v>15</v>
      </c>
      <c r="I26" s="370" t="e">
        <f t="shared" si="5"/>
        <v>#REF!</v>
      </c>
      <c r="J26" s="367" t="e">
        <f t="shared" ca="1" si="4"/>
        <v>#REF!</v>
      </c>
      <c r="K26" s="371">
        <f ca="1">IFERROR(__xludf.DUMMYFUNCTION("(F26*C26)/100*GOOGLEFINANCE (""Currency:USDRON"")"),0.33792336216936)</f>
        <v>0.33792336216935998</v>
      </c>
      <c r="L26" s="372">
        <f ca="1">IFERROR(__xludf.DUMMYFUNCTION("(((H26/GOOGLEFINANCE (""Currency:USDRON""))/D26)*C26)/100*GOOGLEFINANCE (""Currency:USDRON"")"),0.0803930799105566)</f>
        <v>8.0393079910556595E-2</v>
      </c>
      <c r="M26" s="373">
        <f t="shared" ca="1" si="2"/>
        <v>0.23790329083629708</v>
      </c>
      <c r="N26" s="374" t="e">
        <f>Divident_all!#REF!</f>
        <v>#REF!</v>
      </c>
      <c r="O26" s="374" t="e">
        <f>Divident_all!#REF!</f>
        <v>#REF!</v>
      </c>
      <c r="P26" s="375" t="e">
        <f>Divident_all!#REF!</f>
        <v>#REF!</v>
      </c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</row>
    <row r="27" spans="1:33" ht="12.75">
      <c r="A27" s="172"/>
      <c r="B27" s="536" t="e">
        <f>Divident_all!#REF!</f>
        <v>#REF!</v>
      </c>
      <c r="C27" s="536" t="e">
        <f>Divident_all!#REF!</f>
        <v>#REF!</v>
      </c>
      <c r="D27" s="537" t="e">
        <f>Divident_all!#REF!</f>
        <v>#REF!</v>
      </c>
      <c r="E27" s="538">
        <f ca="1">IFERROR(__xludf.DUMMYFUNCTION("(((H27/GOOGLEFINANCE (""Currency:USDRON""))/D27)+F27)"),0.11900853968713)</f>
        <v>0.11900853968713</v>
      </c>
      <c r="F27" s="536" t="e">
        <f>Divident_all!#REF!</f>
        <v>#REF!</v>
      </c>
      <c r="G27" s="537">
        <f ca="1">IFERROR(__xludf.DUMMYFUNCTION("H27/GOOGLEFINANCE (""Currency:USDRON"")"),3.35405393318724)</f>
        <v>3.3540539331872399</v>
      </c>
      <c r="H27" s="539">
        <v>15</v>
      </c>
      <c r="I27" s="540" t="e">
        <f t="shared" si="5"/>
        <v>#REF!</v>
      </c>
      <c r="J27" s="537" t="e">
        <f t="shared" ca="1" si="4"/>
        <v>#REF!</v>
      </c>
      <c r="K27" s="541">
        <f ca="1">IFERROR(__xludf.DUMMYFUNCTION("(F27*C27)/100*GOOGLEFINANCE (""Currency:USDRON"")"),0.216357627800699)</f>
        <v>0.216357627800699</v>
      </c>
      <c r="L27" s="542">
        <f ca="1">IFERROR(__xludf.DUMMYFUNCTION("(((H27/GOOGLEFINANCE (""Currency:USDRON""))/D27)*C27)/100*GOOGLEFINANCE (""Currency:USDRON"")"),0.0524185177496367)</f>
        <v>5.2418517749636698E-2</v>
      </c>
      <c r="M27" s="425">
        <f t="shared" ca="1" si="2"/>
        <v>0.24227718838701071</v>
      </c>
      <c r="N27" s="543" t="e">
        <f>Divident_all!#REF!</f>
        <v>#REF!</v>
      </c>
      <c r="O27" s="543" t="e">
        <f>Divident_all!#REF!</f>
        <v>#REF!</v>
      </c>
      <c r="P27" s="544" t="e">
        <f>Divident_all!#REF!</f>
        <v>#REF!</v>
      </c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</row>
    <row r="28" spans="1:33" ht="12.75">
      <c r="A28" s="172"/>
      <c r="B28" s="301" t="e">
        <f>Divident_all!#REF!</f>
        <v>#REF!</v>
      </c>
      <c r="C28" s="301" t="e">
        <f>Divident_all!#REF!</f>
        <v>#REF!</v>
      </c>
      <c r="D28" s="302" t="e">
        <f>Divident_all!#REF!</f>
        <v>#REF!</v>
      </c>
      <c r="E28" s="303">
        <f ca="1">IFERROR(__xludf.DUMMYFUNCTION("(((H28/GOOGLEFINANCE (""Currency:USDRON""))/D28)+F28)"),0.521320598472964)</f>
        <v>0.52132059847296397</v>
      </c>
      <c r="F28" s="301" t="e">
        <f>Divident_all!#REF!</f>
        <v>#REF!</v>
      </c>
      <c r="G28" s="302">
        <f ca="1">IFERROR(__xludf.DUMMYFUNCTION("H28/GOOGLEFINANCE (""Currency:USDRON"")"),3.35405393318724)</f>
        <v>3.3540539331872399</v>
      </c>
      <c r="H28" s="304">
        <v>15</v>
      </c>
      <c r="I28" s="305" t="e">
        <f t="shared" si="5"/>
        <v>#REF!</v>
      </c>
      <c r="J28" s="302" t="e">
        <f t="shared" ca="1" si="4"/>
        <v>#REF!</v>
      </c>
      <c r="K28" s="306">
        <f ca="1">IFERROR(__xludf.DUMMYFUNCTION("(F28*C28)/100*GOOGLEFINANCE (""Currency:USDRON"")"),1.490117898984)</f>
        <v>1.490117898984</v>
      </c>
      <c r="L28" s="307">
        <f ca="1">IFERROR(__xludf.DUMMYFUNCTION("(((H28/GOOGLEFINANCE (""Currency:USDRON""))/D28)*C28)/100*GOOGLEFINANCE (""Currency:USDRON"")"),0.0486390881399233)</f>
        <v>4.8639088139923299E-2</v>
      </c>
      <c r="M28" s="308">
        <f t="shared" ca="1" si="2"/>
        <v>3.264110052841232E-2</v>
      </c>
      <c r="N28" s="309" t="e">
        <f>Divident_all!#REF!</f>
        <v>#REF!</v>
      </c>
      <c r="O28" s="309" t="e">
        <f>Divident_all!#REF!</f>
        <v>#REF!</v>
      </c>
      <c r="P28" s="310" t="e">
        <f>Divident_all!#REF!</f>
        <v>#REF!</v>
      </c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G30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219</v>
      </c>
      <c r="H1" s="49" t="s">
        <v>220</v>
      </c>
      <c r="I1" s="49" t="s">
        <v>221</v>
      </c>
      <c r="J1" s="13"/>
      <c r="K1" s="13" t="s">
        <v>190</v>
      </c>
      <c r="L1" s="13" t="s">
        <v>191</v>
      </c>
      <c r="M1" s="13" t="s">
        <v>217</v>
      </c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275">
        <v>10</v>
      </c>
      <c r="I2" s="275">
        <v>10</v>
      </c>
      <c r="J2" s="13"/>
      <c r="K2" s="13">
        <v>50</v>
      </c>
      <c r="L2" s="276">
        <f ca="1">((L4*4)*100)/(500+K2)</f>
        <v>4.559227844368035</v>
      </c>
      <c r="M2" s="13">
        <v>20</v>
      </c>
      <c r="N2" s="13"/>
      <c r="O2" s="13"/>
      <c r="P2" s="13"/>
    </row>
    <row r="3" spans="1:33" ht="15.75" customHeight="1">
      <c r="A3" s="277" t="s">
        <v>39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/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AVERAGE(C5:C26)</f>
        <v>#REF!</v>
      </c>
      <c r="D4" s="124" t="e">
        <f t="shared" si="0"/>
        <v>#REF!</v>
      </c>
      <c r="E4" s="278">
        <f t="shared" ca="1" si="0"/>
        <v>0.58315238628567956</v>
      </c>
      <c r="F4" s="122"/>
      <c r="G4" s="124">
        <f ca="1">SUM(G5:G26)</f>
        <v>127.4540494611153</v>
      </c>
      <c r="H4" s="122">
        <f>500+K2+M2-SUM(H5:H26)</f>
        <v>0</v>
      </c>
      <c r="I4" s="124"/>
      <c r="J4" s="124" t="e">
        <f t="shared" ref="J4:L4" ca="1" si="1">SUM(J5:J26)</f>
        <v>#REF!</v>
      </c>
      <c r="K4" s="129">
        <f t="shared" ca="1" si="1"/>
        <v>22.564675375736027</v>
      </c>
      <c r="L4" s="129">
        <f t="shared" ca="1" si="1"/>
        <v>6.2689382860060485</v>
      </c>
      <c r="M4" s="545">
        <f t="shared" ref="M4:M26" ca="1" si="2">(L4/K4)</f>
        <v>0.27782089401326321</v>
      </c>
      <c r="N4" s="131"/>
      <c r="O4" s="131"/>
      <c r="P4" s="132"/>
    </row>
    <row r="5" spans="1:33" ht="12.75">
      <c r="A5" s="172"/>
      <c r="B5" s="280" t="e">
        <f>Divident_all!#REF!</f>
        <v>#REF!</v>
      </c>
      <c r="C5" s="280" t="e">
        <f>Divident_all!#REF!</f>
        <v>#REF!</v>
      </c>
      <c r="D5" s="281" t="e">
        <f>Divident_all!#REF!</f>
        <v>#REF!</v>
      </c>
      <c r="E5" s="282">
        <f ca="1">IFERROR(__xludf.DUMMYFUNCTION("(((H5/GOOGLEFINANCE (""Currency:USDRON""))/D5)+F5)"),2.76356255415375)</f>
        <v>2.7635625541537499</v>
      </c>
      <c r="F5" s="280" t="e">
        <f>Divident_all!#REF!</f>
        <v>#REF!</v>
      </c>
      <c r="G5" s="281">
        <f ca="1">IFERROR(__xludf.DUMMYFUNCTION("H5/GOOGLEFINANCE (""Currency:USDRON"")"),7.82612584410357)</f>
        <v>7.8261258441035704</v>
      </c>
      <c r="H5" s="283">
        <v>35</v>
      </c>
      <c r="I5" s="284" t="e">
        <f>D5/C5</f>
        <v>#REF!</v>
      </c>
      <c r="J5" s="281" t="e">
        <f t="shared" ref="J5:J26" ca="1" si="3">((E5*C5)/100)</f>
        <v>#REF!</v>
      </c>
      <c r="K5" s="285">
        <f ca="1">IFERROR(__xludf.DUMMYFUNCTION("(F5*C5)/100*GOOGLEFINANCE (""Currency:USDRON"")"),3.70911388064)</f>
        <v>3.7091138806399999</v>
      </c>
      <c r="L5" s="286">
        <f ca="1">IFERROR(__xludf.DUMMYFUNCTION("(((H5/GOOGLEFINANCE (""Currency:USDRON""))/D5)*C5)/100*GOOGLEFINANCE (""Currency:USDRON"")"),1.23456790123456)</f>
        <v>1.2345679012345601</v>
      </c>
      <c r="M5" s="546">
        <f t="shared" ca="1" si="2"/>
        <v>0.33284712763295848</v>
      </c>
      <c r="N5" s="288" t="e">
        <f>Divident_all!#REF!</f>
        <v>#REF!</v>
      </c>
      <c r="O5" s="288" t="e">
        <f>Divident_all!#REF!</f>
        <v>#REF!</v>
      </c>
      <c r="P5" s="289" t="e">
        <f>Divident_all!#REF!</f>
        <v>#REF!</v>
      </c>
    </row>
    <row r="6" spans="1:33" ht="12.75">
      <c r="A6" s="172"/>
      <c r="B6" s="280" t="e">
        <f>Divident_all!#REF!</f>
        <v>#REF!</v>
      </c>
      <c r="C6" s="280" t="e">
        <f>Divident_all!#REF!</f>
        <v>#REF!</v>
      </c>
      <c r="D6" s="281" t="e">
        <f>Divident_all!#REF!</f>
        <v>#REF!</v>
      </c>
      <c r="E6" s="282">
        <f ca="1">IFERROR(__xludf.DUMMYFUNCTION("(((H6/GOOGLEFINANCE (""Currency:USDRON""))/D6)+F6)"),2.00214379536887)</f>
        <v>2.0021437953688701</v>
      </c>
      <c r="F6" s="280" t="e">
        <f>Divident_all!#REF!</f>
        <v>#REF!</v>
      </c>
      <c r="G6" s="281">
        <f ca="1">IFERROR(__xludf.DUMMYFUNCTION("H6/GOOGLEFINANCE (""Currency:USDRON"")"),7.82612584410357)</f>
        <v>7.8261258441035704</v>
      </c>
      <c r="H6" s="283">
        <v>35</v>
      </c>
      <c r="I6" s="284" t="e">
        <f>D6/(C6*3)</f>
        <v>#REF!</v>
      </c>
      <c r="J6" s="281" t="e">
        <f t="shared" ca="1" si="3"/>
        <v>#REF!</v>
      </c>
      <c r="K6" s="330">
        <f ca="1">IFERROR(__xludf.DUMMYFUNCTION("(F6*C6)/100*GOOGLEFINANCE (""Currency:USDRON"")"),2.234805186295)</f>
        <v>2.234805186295</v>
      </c>
      <c r="L6" s="286">
        <f ca="1">IFERROR(__xludf.DUMMYFUNCTION("(((H6/GOOGLEFINANCE (""Currency:USDRON""))/D6)*C6)/100*GOOGLEFINANCE (""Currency:USDRON"")"),0.227541371158392)</f>
        <v>0.22754137115839199</v>
      </c>
      <c r="M6" s="547">
        <f t="shared" ca="1" si="2"/>
        <v>0.10181709464153532</v>
      </c>
      <c r="N6" s="288" t="e">
        <f>Divident_all!#REF!</f>
        <v>#REF!</v>
      </c>
      <c r="O6" s="288" t="e">
        <f>Divident_all!#REF!</f>
        <v>#REF!</v>
      </c>
      <c r="P6" s="289" t="e">
        <f>Divident_all!#REF!</f>
        <v>#REF!</v>
      </c>
    </row>
    <row r="7" spans="1:33" ht="12.75">
      <c r="A7" s="172"/>
      <c r="B7" s="514" t="e">
        <f>Divident_all!#REF!</f>
        <v>#REF!</v>
      </c>
      <c r="C7" s="514" t="e">
        <f>Divident_all!#REF!</f>
        <v>#REF!</v>
      </c>
      <c r="D7" s="515" t="e">
        <f>Divident_all!#REF!</f>
        <v>#REF!</v>
      </c>
      <c r="E7" s="516">
        <f ca="1">IFERROR(__xludf.DUMMYFUNCTION("(((H7/GOOGLEFINANCE (""Currency:USDRON""))/D7)+F7)"),0.705256438973684)</f>
        <v>0.70525643897368395</v>
      </c>
      <c r="F7" s="514" t="e">
        <f>Divident_all!#REF!</f>
        <v>#REF!</v>
      </c>
      <c r="G7" s="515">
        <f ca="1">IFERROR(__xludf.DUMMYFUNCTION("H7/GOOGLEFINANCE (""Currency:USDRON"")"),6.70810786637449)</f>
        <v>6.7081078663744904</v>
      </c>
      <c r="H7" s="507">
        <v>30</v>
      </c>
      <c r="I7" s="517" t="e">
        <f t="shared" ref="I7:I10" si="4">D7/C7</f>
        <v>#REF!</v>
      </c>
      <c r="J7" s="515" t="e">
        <f t="shared" ca="1" si="3"/>
        <v>#REF!</v>
      </c>
      <c r="K7" s="518">
        <f ca="1">IFERROR(__xludf.DUMMYFUNCTION("(F7*C7)/100*GOOGLEFINANCE (""Currency:USDRON"")"),1.54056974870699)</f>
        <v>1.54056974870699</v>
      </c>
      <c r="L7" s="519">
        <f ca="1">IFERROR(__xludf.DUMMYFUNCTION("(((H7/GOOGLEFINANCE (""Currency:USDRON""))/D7)*C7)/100*GOOGLEFINANCE (""Currency:USDRON"")"),0.517446471054718)</f>
        <v>0.51744647105471797</v>
      </c>
      <c r="M7" s="548">
        <f t="shared" ca="1" si="2"/>
        <v>0.33587993759387658</v>
      </c>
      <c r="N7" s="520" t="e">
        <f>Divident_all!#REF!</f>
        <v>#REF!</v>
      </c>
      <c r="O7" s="520" t="e">
        <f>Divident_all!#REF!</f>
        <v>#REF!</v>
      </c>
      <c r="P7" s="521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172"/>
      <c r="B8" s="311" t="e">
        <f>Divident_all!#REF!</f>
        <v>#REF!</v>
      </c>
      <c r="C8" s="311" t="e">
        <f>Divident_all!#REF!</f>
        <v>#REF!</v>
      </c>
      <c r="D8" s="312" t="e">
        <f>Divident_all!#REF!</f>
        <v>#REF!</v>
      </c>
      <c r="E8" s="313">
        <f ca="1">IFERROR(__xludf.DUMMYFUNCTION("(((H8/GOOGLEFINANCE (""Currency:USDRON""))/D8)+F8)"),0.499825550556107)</f>
        <v>0.499825550556107</v>
      </c>
      <c r="F8" s="311" t="e">
        <f>Divident_all!#REF!</f>
        <v>#REF!</v>
      </c>
      <c r="G8" s="312">
        <f ca="1">IFERROR(__xludf.DUMMYFUNCTION("H8/GOOGLEFINANCE (""Currency:USDRON"")"),6.70810786637449)</f>
        <v>6.7081078663744904</v>
      </c>
      <c r="H8" s="314">
        <v>30</v>
      </c>
      <c r="I8" s="315" t="e">
        <f t="shared" si="4"/>
        <v>#REF!</v>
      </c>
      <c r="J8" s="312" t="e">
        <f t="shared" ca="1" si="3"/>
        <v>#REF!</v>
      </c>
      <c r="K8" s="316">
        <f ca="1">IFERROR(__xludf.DUMMYFUNCTION("(F8*C8)/100*GOOGLEFINANCE (""Currency:USDRON"")"),1.69061324383999)</f>
        <v>1.6906132438399899</v>
      </c>
      <c r="L8" s="317">
        <f ca="1">IFERROR(__xludf.DUMMYFUNCTION("(((H8/GOOGLEFINANCE (""Currency:USDRON""))/D8)*C8)/100*GOOGLEFINANCE (""Currency:USDRON"")"),0.444117191133157)</f>
        <v>0.44411719113315701</v>
      </c>
      <c r="M8" s="549">
        <f t="shared" ca="1" si="2"/>
        <v>0.26269591389477548</v>
      </c>
      <c r="N8" s="319" t="e">
        <f>Divident_all!#REF!</f>
        <v>#REF!</v>
      </c>
      <c r="O8" s="319" t="e">
        <f>Divident_all!#REF!</f>
        <v>#REF!</v>
      </c>
      <c r="P8" s="320" t="e">
        <f>Divident_all!#REF!</f>
        <v>#REF!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172"/>
      <c r="B9" s="331" t="e">
        <f>Divident_all!#REF!</f>
        <v>#REF!</v>
      </c>
      <c r="C9" s="331" t="e">
        <f>Divident_all!#REF!</f>
        <v>#REF!</v>
      </c>
      <c r="D9" s="332" t="e">
        <f>Divident_all!#REF!</f>
        <v>#REF!</v>
      </c>
      <c r="E9" s="333">
        <f ca="1">IFERROR(__xludf.DUMMYFUNCTION("(((H9/GOOGLEFINANCE (""Currency:USDRON""))/D9)+F9)"),0.477452219747675)</f>
        <v>0.47745221974767499</v>
      </c>
      <c r="F9" s="331" t="e">
        <f>Divident_all!#REF!</f>
        <v>#REF!</v>
      </c>
      <c r="G9" s="332">
        <f ca="1">IFERROR(__xludf.DUMMYFUNCTION("H9/GOOGLEFINANCE (""Currency:USDRON"")"),6.70810786637449)</f>
        <v>6.7081078663744904</v>
      </c>
      <c r="H9" s="304">
        <v>30</v>
      </c>
      <c r="I9" s="334" t="e">
        <f t="shared" si="4"/>
        <v>#REF!</v>
      </c>
      <c r="J9" s="332" t="e">
        <f t="shared" ca="1" si="3"/>
        <v>#REF!</v>
      </c>
      <c r="K9" s="335">
        <f ca="1">IFERROR(__xludf.DUMMYFUNCTION("(F9*C9)/100*GOOGLEFINANCE (""Currency:USDRON"")"),1.247967946664)</f>
        <v>1.2479679466639999</v>
      </c>
      <c r="L9" s="336">
        <f ca="1">IFERROR(__xludf.DUMMYFUNCTION("(((H9/GOOGLEFINANCE (""Currency:USDRON""))/D9)*C9)/100*GOOGLEFINANCE (""Currency:USDRON"")"),0.438888888888888)</f>
        <v>0.438888888888888</v>
      </c>
      <c r="M9" s="550">
        <f t="shared" ca="1" si="2"/>
        <v>0.35168282171196941</v>
      </c>
      <c r="N9" s="337" t="e">
        <f>Divident_all!#REF!</f>
        <v>#REF!</v>
      </c>
      <c r="O9" s="337" t="e">
        <f>Divident_all!#REF!</f>
        <v>#REF!</v>
      </c>
      <c r="P9" s="338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172"/>
      <c r="B10" s="504" t="e">
        <f>Divident_all!#REF!</f>
        <v>#REF!</v>
      </c>
      <c r="C10" s="504" t="e">
        <f>Divident_all!#REF!</f>
        <v>#REF!</v>
      </c>
      <c r="D10" s="505" t="e">
        <f>Divident_all!#REF!</f>
        <v>#REF!</v>
      </c>
      <c r="E10" s="506">
        <f ca="1">IFERROR(__xludf.DUMMYFUNCTION("(((H10/GOOGLEFINANCE (""Currency:USDRON""))/D10)+F10)"),1.41621599219932)</f>
        <v>1.41621599219932</v>
      </c>
      <c r="F10" s="504" t="e">
        <f>Divident_all!#REF!</f>
        <v>#REF!</v>
      </c>
      <c r="G10" s="505">
        <f ca="1">IFERROR(__xludf.DUMMYFUNCTION("H10/GOOGLEFINANCE (""Currency:USDRON"")"),6.70810786637449)</f>
        <v>6.7081078663744904</v>
      </c>
      <c r="H10" s="507">
        <v>30</v>
      </c>
      <c r="I10" s="508" t="e">
        <f t="shared" si="4"/>
        <v>#REF!</v>
      </c>
      <c r="J10" s="505" t="e">
        <f t="shared" ca="1" si="3"/>
        <v>#REF!</v>
      </c>
      <c r="K10" s="518">
        <f ca="1">IFERROR(__xludf.DUMMYFUNCTION("(F10*C10)/100*GOOGLEFINANCE (""Currency:USDRON"")"),1.271584829868)</f>
        <v>1.2715848298679999</v>
      </c>
      <c r="L10" s="510">
        <f ca="1">IFERROR(__xludf.DUMMYFUNCTION("(((H10/GOOGLEFINANCE (""Currency:USDRON""))/D10)*C10)/100*GOOGLEFINANCE (""Currency:USDRON"")"),0.485989492119089)</f>
        <v>0.48598949211908898</v>
      </c>
      <c r="M10" s="548">
        <f t="shared" ca="1" si="2"/>
        <v>0.38219195503420589</v>
      </c>
      <c r="N10" s="512" t="e">
        <f>Divident_all!#REF!</f>
        <v>#REF!</v>
      </c>
      <c r="O10" s="512" t="e">
        <f>Divident_all!#REF!</f>
        <v>#REF!</v>
      </c>
      <c r="P10" s="513" t="e">
        <f>Divident_all!#REF!</f>
        <v>#REF!</v>
      </c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172"/>
      <c r="B11" s="280" t="e">
        <f>Divident_all!#REF!</f>
        <v>#REF!</v>
      </c>
      <c r="C11" s="280" t="e">
        <f>Divident_all!#REF!</f>
        <v>#REF!</v>
      </c>
      <c r="D11" s="281" t="e">
        <f>Divident_all!#REF!</f>
        <v>#REF!</v>
      </c>
      <c r="E11" s="282">
        <f ca="1">IFERROR(__xludf.DUMMYFUNCTION("(((H11/GOOGLEFINANCE (""Currency:USDRON""))/D11)+F11)"),1.03788347603454)</f>
        <v>1.0378834760345399</v>
      </c>
      <c r="F11" s="280" t="e">
        <f>Divident_all!#REF!</f>
        <v>#REF!</v>
      </c>
      <c r="G11" s="281">
        <f ca="1">IFERROR(__xludf.DUMMYFUNCTION("H11/GOOGLEFINANCE (""Currency:USDRON"")"),6.70810786637449)</f>
        <v>6.7081078663744904</v>
      </c>
      <c r="H11" s="283">
        <v>30</v>
      </c>
      <c r="I11" s="284" t="e">
        <f>D11/(C11*3)</f>
        <v>#REF!</v>
      </c>
      <c r="J11" s="281" t="e">
        <f t="shared" ca="1" si="3"/>
        <v>#REF!</v>
      </c>
      <c r="K11" s="330">
        <f ca="1">IFERROR(__xludf.DUMMYFUNCTION("(F11*C11)/100*GOOGLEFINANCE (""Currency:USDRON"")"),1.062088712931)</f>
        <v>1.0620887129309999</v>
      </c>
      <c r="L11" s="286">
        <f ca="1">IFERROR(__xludf.DUMMYFUNCTION("(((H11/GOOGLEFINANCE (""Currency:USDRON""))/D11)*C11)/100*GOOGLEFINANCE (""Currency:USDRON"")"),0.121525019857029)</f>
        <v>0.121525019857029</v>
      </c>
      <c r="M11" s="547">
        <f t="shared" ca="1" si="2"/>
        <v>0.11442078084198984</v>
      </c>
      <c r="N11" s="288" t="e">
        <f>Divident_all!#REF!</f>
        <v>#REF!</v>
      </c>
      <c r="O11" s="288" t="e">
        <f>Divident_all!#REF!</f>
        <v>#REF!</v>
      </c>
      <c r="P11" s="289" t="e">
        <f>Divident_all!#REF!</f>
        <v>#REF!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172"/>
      <c r="B12" s="280" t="e">
        <f>Divident_all!#REF!</f>
        <v>#REF!</v>
      </c>
      <c r="C12" s="280" t="e">
        <f>Divident_all!#REF!</f>
        <v>#REF!</v>
      </c>
      <c r="D12" s="281" t="e">
        <f>Divident_all!#REF!</f>
        <v>#REF!</v>
      </c>
      <c r="E12" s="282">
        <f ca="1">IFERROR(__xludf.DUMMYFUNCTION("(((H12/GOOGLEFINANCE (""Currency:USDRON""))/D12)+F12)"),0.252855219061391)</f>
        <v>0.25285521906139102</v>
      </c>
      <c r="F12" s="280" t="e">
        <f>Divident_all!#REF!</f>
        <v>#REF!</v>
      </c>
      <c r="G12" s="281">
        <f ca="1">IFERROR(__xludf.DUMMYFUNCTION("H12/GOOGLEFINANCE (""Currency:USDRON"")"),6.70810786637449)</f>
        <v>6.7081078663744904</v>
      </c>
      <c r="H12" s="283">
        <v>30</v>
      </c>
      <c r="I12" s="284" t="e">
        <f t="shared" ref="I12:I26" si="5">D12/C12</f>
        <v>#REF!</v>
      </c>
      <c r="J12" s="281" t="e">
        <f t="shared" ca="1" si="3"/>
        <v>#REF!</v>
      </c>
      <c r="K12" s="330">
        <f ca="1">IFERROR(__xludf.DUMMYFUNCTION("(F12*C12)/100*GOOGLEFINANCE (""Currency:USDRON"")"),0.884975733583199)</f>
        <v>0.88497573358319903</v>
      </c>
      <c r="L12" s="286">
        <f ca="1">IFERROR(__xludf.DUMMYFUNCTION("(((H12/GOOGLEFINANCE (""Currency:USDRON""))/D12)*C12)/100*GOOGLEFINANCE (""Currency:USDRON"")"),0.336308905958065)</f>
        <v>0.33630890595806501</v>
      </c>
      <c r="M12" s="547">
        <f t="shared" ca="1" si="2"/>
        <v>0.38002048326949711</v>
      </c>
      <c r="N12" s="288" t="e">
        <f>Divident_all!#REF!</f>
        <v>#REF!</v>
      </c>
      <c r="O12" s="288" t="e">
        <f>Divident_all!#REF!</f>
        <v>#REF!</v>
      </c>
      <c r="P12" s="289" t="e">
        <f>Divident_all!#REF!</f>
        <v>#REF!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172"/>
      <c r="B13" s="391" t="e">
        <f>Divident_all!#REF!</f>
        <v>#REF!</v>
      </c>
      <c r="C13" s="391" t="e">
        <f>Divident_all!#REF!</f>
        <v>#REF!</v>
      </c>
      <c r="D13" s="392" t="e">
        <f>Divident_all!#REF!</f>
        <v>#REF!</v>
      </c>
      <c r="E13" s="393">
        <f ca="1">IFERROR(__xludf.DUMMYFUNCTION("(((H13/GOOGLEFINANCE (""Currency:USDRON""))/D13)+F13)"),0.286451330973008)</f>
        <v>0.28645133097300801</v>
      </c>
      <c r="F13" s="391" t="e">
        <f>Divident_all!#REF!</f>
        <v>#REF!</v>
      </c>
      <c r="G13" s="392">
        <f ca="1">IFERROR(__xludf.DUMMYFUNCTION("H13/GOOGLEFINANCE (""Currency:USDRON"")"),6.70810786637449)</f>
        <v>6.7081078663744904</v>
      </c>
      <c r="H13" s="100">
        <v>30</v>
      </c>
      <c r="I13" s="394" t="e">
        <f t="shared" si="5"/>
        <v>#REF!</v>
      </c>
      <c r="J13" s="392" t="e">
        <f t="shared" ca="1" si="3"/>
        <v>#REF!</v>
      </c>
      <c r="K13" s="395">
        <f ca="1">IFERROR(__xludf.DUMMYFUNCTION("(F13*C13)/100*GOOGLEFINANCE (""Currency:USDRON"")"),0.6440125086025)</f>
        <v>0.64401250860250003</v>
      </c>
      <c r="L13" s="396">
        <f ca="1">IFERROR(__xludf.DUMMYFUNCTION("(((H13/GOOGLEFINANCE (""Currency:USDRON""))/D13)*C13)/100*GOOGLEFINANCE (""Currency:USDRON"")"),0.300774877650897)</f>
        <v>0.300774877650897</v>
      </c>
      <c r="M13" s="551">
        <f t="shared" ca="1" si="2"/>
        <v>0.46703266416917139</v>
      </c>
      <c r="N13" s="398" t="e">
        <f>Divident_all!#REF!</f>
        <v>#REF!</v>
      </c>
      <c r="O13" s="398" t="e">
        <f>Divident_all!#REF!</f>
        <v>#REF!</v>
      </c>
      <c r="P13" s="399" t="e">
        <f>Divident_all!#REF!</f>
        <v>#REF!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172"/>
      <c r="B14" s="400" t="e">
        <f>Divident_all!#REF!</f>
        <v>#REF!</v>
      </c>
      <c r="C14" s="400" t="e">
        <f>Divident_all!#REF!</f>
        <v>#REF!</v>
      </c>
      <c r="D14" s="401" t="e">
        <f>Divident_all!#REF!</f>
        <v>#REF!</v>
      </c>
      <c r="E14" s="402">
        <f ca="1">IFERROR(__xludf.DUMMYFUNCTION("(((H14/GOOGLEFINANCE (""Currency:USDRON""))/D14)+F14)"),0.687295024790106)</f>
        <v>0.68729502479010596</v>
      </c>
      <c r="F14" s="400" t="e">
        <f>Divident_all!#REF!</f>
        <v>#REF!</v>
      </c>
      <c r="G14" s="401">
        <f ca="1">IFERROR(__xludf.DUMMYFUNCTION("H14/GOOGLEFINANCE (""Currency:USDRON"")"),6.70810786637449)</f>
        <v>6.7081078663744904</v>
      </c>
      <c r="H14" s="403">
        <v>30</v>
      </c>
      <c r="I14" s="404" t="e">
        <f t="shared" si="5"/>
        <v>#REF!</v>
      </c>
      <c r="J14" s="401" t="e">
        <f t="shared" ca="1" si="3"/>
        <v>#REF!</v>
      </c>
      <c r="K14" s="395">
        <f ca="1">IFERROR(__xludf.DUMMYFUNCTION("(F14*C14)/100*GOOGLEFINANCE (""Currency:USDRON"")"),1.181509109257)</f>
        <v>1.181509109257</v>
      </c>
      <c r="L14" s="405">
        <f ca="1">IFERROR(__xludf.DUMMYFUNCTION("(((H14/GOOGLEFINANCE (""Currency:USDRON""))/D14)*C14)/100*GOOGLEFINANCE (""Currency:USDRON"")"),0.309245483528161)</f>
        <v>0.309245483528161</v>
      </c>
      <c r="M14" s="551">
        <f t="shared" ca="1" si="2"/>
        <v>0.26173770570641824</v>
      </c>
      <c r="N14" s="406" t="e">
        <f>Divident_all!#REF!</f>
        <v>#REF!</v>
      </c>
      <c r="O14" s="406" t="e">
        <f>Divident_all!#REF!</f>
        <v>#REF!</v>
      </c>
      <c r="P14" s="407" t="e">
        <f>Divident_all!#REF!</f>
        <v>#REF!</v>
      </c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</row>
    <row r="15" spans="1:33" ht="12.75">
      <c r="A15" s="172"/>
      <c r="B15" s="408" t="e">
        <f>Divident_all!#REF!</f>
        <v>#REF!</v>
      </c>
      <c r="C15" s="408" t="e">
        <f>Divident_all!#REF!</f>
        <v>#REF!</v>
      </c>
      <c r="D15" s="409" t="e">
        <f>Divident_all!#REF!</f>
        <v>#REF!</v>
      </c>
      <c r="E15" s="410">
        <f ca="1">IFERROR(__xludf.DUMMYFUNCTION("(((H15/GOOGLEFINANCE (""Currency:USDRON""))/D15)+F15)"),0.759522835967121)</f>
        <v>0.759522835967121</v>
      </c>
      <c r="F15" s="408" t="e">
        <f>Divident_all!#REF!</f>
        <v>#REF!</v>
      </c>
      <c r="G15" s="409">
        <f ca="1">IFERROR(__xludf.DUMMYFUNCTION("H15/GOOGLEFINANCE (""Currency:USDRON"")"),6.70810786637449)</f>
        <v>6.7081078663744904</v>
      </c>
      <c r="H15" s="411">
        <v>30</v>
      </c>
      <c r="I15" s="412" t="e">
        <f t="shared" si="5"/>
        <v>#REF!</v>
      </c>
      <c r="J15" s="409" t="e">
        <f t="shared" ca="1" si="3"/>
        <v>#REF!</v>
      </c>
      <c r="K15" s="413">
        <f ca="1">IFERROR(__xludf.DUMMYFUNCTION("(E15*C15)/100*GOOGLEFINANCE (""Currency:EURRON"")"),1.56124439772461)</f>
        <v>1.56124439772461</v>
      </c>
      <c r="L15" s="414">
        <f ca="1">IFERROR(__xludf.DUMMYFUNCTION("(((H15/GOOGLEFINANCE (""Currency:EURRON""))/D15)*C15)/100*GOOGLEFINANCE (""Currency:EURRON"")"),0.319563522992985)</f>
        <v>0.31956352299298502</v>
      </c>
      <c r="M15" s="552">
        <f t="shared" ca="1" si="2"/>
        <v>0.20468513671448463</v>
      </c>
      <c r="N15" s="416" t="e">
        <f>Divident_all!#REF!</f>
        <v>#REF!</v>
      </c>
      <c r="O15" s="416" t="e">
        <f>Divident_all!#REF!</f>
        <v>#REF!</v>
      </c>
      <c r="P15" s="417" t="e">
        <f>Divident_all!#REF!</f>
        <v>#REF!</v>
      </c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172"/>
      <c r="B16" s="408" t="e">
        <f>Divident_all!#REF!</f>
        <v>#REF!</v>
      </c>
      <c r="C16" s="408" t="e">
        <f>Divident_all!#REF!</f>
        <v>#REF!</v>
      </c>
      <c r="D16" s="409" t="e">
        <f>Divident_all!#REF!</f>
        <v>#REF!</v>
      </c>
      <c r="E16" s="410">
        <f ca="1">IFERROR(__xludf.DUMMYFUNCTION("(((H16/GOOGLEFINANCE (""Currency:USDRON""))/D16)+F16)"),0.160260322918634)</f>
        <v>0.16026032291863401</v>
      </c>
      <c r="F16" s="408" t="e">
        <f>Divident_all!#REF!</f>
        <v>#REF!</v>
      </c>
      <c r="G16" s="409">
        <f ca="1">IFERROR(__xludf.DUMMYFUNCTION("H16/GOOGLEFINANCE (""Currency:USDRON"")"),5.59008988864541)</f>
        <v>5.5900898886454096</v>
      </c>
      <c r="H16" s="411">
        <v>25</v>
      </c>
      <c r="I16" s="412" t="e">
        <f t="shared" si="5"/>
        <v>#REF!</v>
      </c>
      <c r="J16" s="409" t="e">
        <f t="shared" ca="1" si="3"/>
        <v>#REF!</v>
      </c>
      <c r="K16" s="413">
        <f ca="1">IFERROR(__xludf.DUMMYFUNCTION("(E16*C16)/100*GOOGLEFINANCE (""Currency:EURRON"")"),1.18914257690127)</f>
        <v>1.18914257690127</v>
      </c>
      <c r="L16" s="414">
        <f ca="1">IFERROR(__xludf.DUMMYFUNCTION("(((H16/GOOGLEFINANCE (""Currency:EURRON""))/D16)*C16)/100*GOOGLEFINANCE (""Currency:EURRON"")"),0.249949334594338)</f>
        <v>0.24994933459433799</v>
      </c>
      <c r="M16" s="552">
        <f t="shared" ca="1" si="2"/>
        <v>0.21019290659465667</v>
      </c>
      <c r="N16" s="416" t="e">
        <f>Divident_all!#REF!</f>
        <v>#REF!</v>
      </c>
      <c r="O16" s="416" t="e">
        <f>Divident_all!#REF!</f>
        <v>#REF!</v>
      </c>
      <c r="P16" s="417" t="e">
        <f>Divident_all!#REF!</f>
        <v>#REF!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172"/>
      <c r="B17" s="301" t="e">
        <f>Divident_all!#REF!</f>
        <v>#REF!</v>
      </c>
      <c r="C17" s="301" t="e">
        <f>Divident_all!#REF!</f>
        <v>#REF!</v>
      </c>
      <c r="D17" s="302" t="e">
        <f>Divident_all!#REF!</f>
        <v>#REF!</v>
      </c>
      <c r="E17" s="303">
        <f ca="1">IFERROR(__xludf.DUMMYFUNCTION("(((H17/GOOGLEFINANCE (""Currency:USDRON""))/D17)+F17)"),0.519458770720396)</f>
        <v>0.51945877072039603</v>
      </c>
      <c r="F17" s="301" t="e">
        <f>Divident_all!#REF!</f>
        <v>#REF!</v>
      </c>
      <c r="G17" s="302">
        <f ca="1">IFERROR(__xludf.DUMMYFUNCTION("H17/GOOGLEFINANCE (""Currency:USDRON"")"),5.59008988864541)</f>
        <v>5.5900898886454096</v>
      </c>
      <c r="H17" s="304">
        <v>25</v>
      </c>
      <c r="I17" s="305" t="e">
        <f t="shared" si="5"/>
        <v>#REF!</v>
      </c>
      <c r="J17" s="302" t="e">
        <f t="shared" ca="1" si="3"/>
        <v>#REF!</v>
      </c>
      <c r="K17" s="335">
        <f ca="1">IFERROR(__xludf.DUMMYFUNCTION("(F17*C17)/100*GOOGLEFINANCE (""Currency:USDRON"")"),0.548492208726)</f>
        <v>0.54849220872600002</v>
      </c>
      <c r="L17" s="307">
        <f ca="1">IFERROR(__xludf.DUMMYFUNCTION("(((H17/GOOGLEFINANCE (""Currency:USDRON""))/D17)*C17)/100*GOOGLEFINANCE (""Currency:USDRON"")"),0.2181385510312)</f>
        <v>0.2181385510312</v>
      </c>
      <c r="M17" s="553">
        <f t="shared" ca="1" si="2"/>
        <v>0.39770583348463096</v>
      </c>
      <c r="N17" s="309" t="e">
        <f>Divident_all!#REF!</f>
        <v>#REF!</v>
      </c>
      <c r="O17" s="309" t="e">
        <f>Divident_all!#REF!</f>
        <v>#REF!</v>
      </c>
      <c r="P17" s="310" t="e">
        <f>Divident_all!#REF!</f>
        <v>#REF!</v>
      </c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172"/>
      <c r="B18" s="339" t="e">
        <f>Divident_all!#REF!</f>
        <v>#REF!</v>
      </c>
      <c r="C18" s="339" t="e">
        <f>Divident_all!#REF!</f>
        <v>#REF!</v>
      </c>
      <c r="D18" s="340" t="e">
        <f>Divident_all!#REF!</f>
        <v>#REF!</v>
      </c>
      <c r="E18" s="341">
        <f ca="1">IFERROR(__xludf.DUMMYFUNCTION("(((H18/GOOGLEFINANCE (""Currency:USDRON""))/D18)+F18)"),0.179341560513715)</f>
        <v>0.179341560513715</v>
      </c>
      <c r="F18" s="339" t="e">
        <f>Divident_all!#REF!</f>
        <v>#REF!</v>
      </c>
      <c r="G18" s="340">
        <f ca="1">IFERROR(__xludf.DUMMYFUNCTION("H18/GOOGLEFINANCE (""Currency:USDRON"")"),5.59008988864541)</f>
        <v>5.5900898886454096</v>
      </c>
      <c r="H18" s="342">
        <v>25</v>
      </c>
      <c r="I18" s="343" t="e">
        <f t="shared" si="5"/>
        <v>#REF!</v>
      </c>
      <c r="J18" s="340" t="e">
        <f t="shared" ca="1" si="3"/>
        <v>#REF!</v>
      </c>
      <c r="K18" s="344">
        <f ca="1">IFERROR(__xludf.DUMMYFUNCTION("(F18*C18)/100*GOOGLEFINANCE (""Currency:USDRON"")"),0.619222600879999)</f>
        <v>0.61922260087999903</v>
      </c>
      <c r="L18" s="345">
        <f ca="1">IFERROR(__xludf.DUMMYFUNCTION("(((H18/GOOGLEFINANCE (""Currency:USDRON""))/D18)*C18)/100*GOOGLEFINANCE (""Currency:USDRON"")"),0.182828726049436)</f>
        <v>0.18282872604943601</v>
      </c>
      <c r="M18" s="554">
        <f t="shared" ca="1" si="2"/>
        <v>0.29525525358669347</v>
      </c>
      <c r="N18" s="347" t="e">
        <f>Divident_all!#REF!</f>
        <v>#REF!</v>
      </c>
      <c r="O18" s="347" t="e">
        <f>Divident_all!#REF!</f>
        <v>#REF!</v>
      </c>
      <c r="P18" s="348" t="e">
        <f>Divident_all!#REF!</f>
        <v>#REF!</v>
      </c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172"/>
      <c r="B19" s="331" t="e">
        <f>Divident_all!#REF!</f>
        <v>#REF!</v>
      </c>
      <c r="C19" s="331" t="e">
        <f>Divident_all!#REF!</f>
        <v>#REF!</v>
      </c>
      <c r="D19" s="332" t="e">
        <f>Divident_all!#REF!</f>
        <v>#REF!</v>
      </c>
      <c r="E19" s="333">
        <f ca="1">IFERROR(__xludf.DUMMYFUNCTION("(((H19/GOOGLEFINANCE (""Currency:USDRON""))/D19)+F19)"),0.17262085802939)</f>
        <v>0.17262085802939001</v>
      </c>
      <c r="F19" s="331" t="e">
        <f>Divident_all!#REF!</f>
        <v>#REF!</v>
      </c>
      <c r="G19" s="332">
        <f ca="1">IFERROR(__xludf.DUMMYFUNCTION("H19/GOOGLEFINANCE (""Currency:USDRON"")"),4.47207191091632)</f>
        <v>4.4720719109163198</v>
      </c>
      <c r="H19" s="304">
        <v>20</v>
      </c>
      <c r="I19" s="334" t="e">
        <f t="shared" si="5"/>
        <v>#REF!</v>
      </c>
      <c r="J19" s="332" t="e">
        <f t="shared" ca="1" si="3"/>
        <v>#REF!</v>
      </c>
      <c r="K19" s="335">
        <f ca="1">IFERROR(__xludf.DUMMYFUNCTION("(F19*C19)/100*GOOGLEFINANCE (""Currency:USDRON"")"),0.2557382848)</f>
        <v>0.25573828479999999</v>
      </c>
      <c r="L19" s="336">
        <f ca="1">IFERROR(__xludf.DUMMYFUNCTION("(((H19/GOOGLEFINANCE (""Currency:USDRON""))/D19)*C19)/100*GOOGLEFINANCE (""Currency:USDRON"")"),0.13025921583952)</f>
        <v>0.13025921583951999</v>
      </c>
      <c r="M19" s="550">
        <f t="shared" ca="1" si="2"/>
        <v>0.50934577879643306</v>
      </c>
      <c r="N19" s="337" t="e">
        <f>Divident_all!#REF!</f>
        <v>#REF!</v>
      </c>
      <c r="O19" s="337" t="e">
        <f>Divident_all!#REF!</f>
        <v>#REF!</v>
      </c>
      <c r="P19" s="338" t="e">
        <f>Divident_all!#REF!</f>
        <v>#REF!</v>
      </c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172"/>
      <c r="B20" s="522" t="e">
        <f>Divident_all!#REF!</f>
        <v>#REF!</v>
      </c>
      <c r="C20" s="522" t="e">
        <f>Divident_all!#REF!</f>
        <v>#REF!</v>
      </c>
      <c r="D20" s="523" t="e">
        <f>Divident_all!#REF!</f>
        <v>#REF!</v>
      </c>
      <c r="E20" s="524">
        <f ca="1">IFERROR(__xludf.DUMMYFUNCTION("(((H20/GOOGLEFINANCE (""Currency:USDRON""))/D20)+F20)"),0.10232420613723)</f>
        <v>0.10232420613723001</v>
      </c>
      <c r="F20" s="522" t="e">
        <f>Divident_all!#REF!</f>
        <v>#REF!</v>
      </c>
      <c r="G20" s="523">
        <f ca="1">IFERROR(__xludf.DUMMYFUNCTION("H20/GOOGLEFINANCE (""Currency:USDRON"")"),4.47207191091632)</f>
        <v>4.4720719109163198</v>
      </c>
      <c r="H20" s="525">
        <v>20</v>
      </c>
      <c r="I20" s="526" t="e">
        <f t="shared" si="5"/>
        <v>#REF!</v>
      </c>
      <c r="J20" s="523" t="e">
        <f t="shared" ca="1" si="3"/>
        <v>#REF!</v>
      </c>
      <c r="K20" s="527">
        <f ca="1">IFERROR(__xludf.DUMMYFUNCTION("(F20*C20)/100*GOOGLEFINANCE (""Currency:USDRON"")"),0.682860777024999)</f>
        <v>0.68286077702499903</v>
      </c>
      <c r="L20" s="528">
        <f ca="1">IFERROR(__xludf.DUMMYFUNCTION("(((H20/GOOGLEFINANCE (""Currency:USDRON""))/D20)*C20)/100*GOOGLEFINANCE (""Currency:USDRON"")"),0.117964273677114)</f>
        <v>0.117964273677114</v>
      </c>
      <c r="M20" s="555">
        <f t="shared" ca="1" si="2"/>
        <v>0.17275010902082522</v>
      </c>
      <c r="N20" s="530" t="e">
        <f>Divident_all!#REF!</f>
        <v>#REF!</v>
      </c>
      <c r="O20" s="530" t="e">
        <f>Divident_all!#REF!</f>
        <v>#REF!</v>
      </c>
      <c r="P20" s="531" t="e">
        <f>Divident_all!#REF!</f>
        <v>#REF!</v>
      </c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172"/>
      <c r="B21" s="331" t="e">
        <f>Divident_all!#REF!</f>
        <v>#REF!</v>
      </c>
      <c r="C21" s="331" t="e">
        <f>Divident_all!#REF!</f>
        <v>#REF!</v>
      </c>
      <c r="D21" s="332" t="e">
        <f>Divident_all!#REF!</f>
        <v>#REF!</v>
      </c>
      <c r="E21" s="333">
        <f ca="1">IFERROR(__xludf.DUMMYFUNCTION("(((H21/GOOGLEFINANCE (""Currency:USDRON""))/D21)+F21)"),0.267487647982582)</f>
        <v>0.26748764798258201</v>
      </c>
      <c r="F21" s="331" t="e">
        <f>Divident_all!#REF!</f>
        <v>#REF!</v>
      </c>
      <c r="G21" s="332">
        <f ca="1">IFERROR(__xludf.DUMMYFUNCTION("H21/GOOGLEFINANCE (""Currency:USDRON"")"),4.47207191091632)</f>
        <v>4.4720719109163198</v>
      </c>
      <c r="H21" s="304">
        <v>20</v>
      </c>
      <c r="I21" s="334" t="e">
        <f t="shared" si="5"/>
        <v>#REF!</v>
      </c>
      <c r="J21" s="332" t="e">
        <f t="shared" ca="1" si="3"/>
        <v>#REF!</v>
      </c>
      <c r="K21" s="335">
        <f ca="1">IFERROR(__xludf.DUMMYFUNCTION("(F21*C21)/100*GOOGLEFINANCE (""Currency:USDRON"")"),0.455082485376)</f>
        <v>0.45508248537599999</v>
      </c>
      <c r="L21" s="336">
        <f ca="1">IFERROR(__xludf.DUMMYFUNCTION("(((H21/GOOGLEFINANCE (""Currency:USDRON""))/D21)*C21)/100*GOOGLEFINANCE (""Currency:USDRON"")"),0.119121479091698)</f>
        <v>0.119121479091698</v>
      </c>
      <c r="M21" s="550">
        <f t="shared" ca="1" si="2"/>
        <v>0.26175799535171518</v>
      </c>
      <c r="N21" s="337" t="e">
        <f>Divident_all!#REF!</f>
        <v>#REF!</v>
      </c>
      <c r="O21" s="337" t="e">
        <f>Divident_all!#REF!</f>
        <v>#REF!</v>
      </c>
      <c r="P21" s="338" t="e">
        <f>Divident_all!#REF!</f>
        <v>#REF!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172"/>
      <c r="B22" s="331" t="e">
        <f>Divident_all!#REF!</f>
        <v>#REF!</v>
      </c>
      <c r="C22" s="331" t="e">
        <f>Divident_all!#REF!</f>
        <v>#REF!</v>
      </c>
      <c r="D22" s="332" t="e">
        <f>Divident_all!#REF!</f>
        <v>#REF!</v>
      </c>
      <c r="E22" s="333">
        <f ca="1">IFERROR(__xludf.DUMMYFUNCTION("(((H22/GOOGLEFINANCE (""Currency:USDRON""))/D22)+F22)"),0.148964715784889)</f>
        <v>0.14896471578488901</v>
      </c>
      <c r="F22" s="331" t="e">
        <f>Divident_all!#REF!</f>
        <v>#REF!</v>
      </c>
      <c r="G22" s="332">
        <f ca="1">IFERROR(__xludf.DUMMYFUNCTION("H22/GOOGLEFINANCE (""Currency:USDRON"")"),4.47207191091632)</f>
        <v>4.4720719109163198</v>
      </c>
      <c r="H22" s="304">
        <v>20</v>
      </c>
      <c r="I22" s="334" t="e">
        <f t="shared" si="5"/>
        <v>#REF!</v>
      </c>
      <c r="J22" s="332" t="e">
        <f t="shared" ca="1" si="3"/>
        <v>#REF!</v>
      </c>
      <c r="K22" s="335">
        <f ca="1">IFERROR(__xludf.DUMMYFUNCTION("(F22*C22)/100*GOOGLEFINANCE (""Currency:USDRON"")"),0.506114966057474)</f>
        <v>0.50611496605747397</v>
      </c>
      <c r="L22" s="336">
        <f ca="1">IFERROR(__xludf.DUMMYFUNCTION("(((H22/GOOGLEFINANCE (""Currency:USDRON""))/D22)*C22)/100*GOOGLEFINANCE (""Currency:USDRON"")"),0.120579375761071)</f>
        <v>0.120579375761071</v>
      </c>
      <c r="M22" s="550">
        <f t="shared" ca="1" si="2"/>
        <v>0.23824503096669564</v>
      </c>
      <c r="N22" s="337" t="e">
        <f>Divident_all!#REF!</f>
        <v>#REF!</v>
      </c>
      <c r="O22" s="337" t="e">
        <f>Divident_all!#REF!</f>
        <v>#REF!</v>
      </c>
      <c r="P22" s="338" t="e">
        <f>Divident_all!#REF!</f>
        <v>#REF!</v>
      </c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172"/>
      <c r="B23" s="418" t="e">
        <f>Divident_all!#REF!</f>
        <v>#REF!</v>
      </c>
      <c r="C23" s="418" t="e">
        <f>Divident_all!#REF!</f>
        <v>#REF!</v>
      </c>
      <c r="D23" s="419" t="e">
        <f>Divident_all!#REF!</f>
        <v>#REF!</v>
      </c>
      <c r="E23" s="420">
        <f ca="1">IFERROR(__xludf.DUMMYFUNCTION("(((H23/GOOGLEFINANCE (""Currency:USDRON""))/D23)+F23)"),0.0852044420862416)</f>
        <v>8.5204442086241602E-2</v>
      </c>
      <c r="F23" s="418" t="e">
        <f>Divident_all!#REF!</f>
        <v>#REF!</v>
      </c>
      <c r="G23" s="419">
        <f ca="1">IFERROR(__xludf.DUMMYFUNCTION("H23/GOOGLEFINANCE (""Currency:USDRON"")"),4.47207191091632)</f>
        <v>4.4720719109163198</v>
      </c>
      <c r="H23" s="421">
        <v>20</v>
      </c>
      <c r="I23" s="422" t="e">
        <f t="shared" si="5"/>
        <v>#REF!</v>
      </c>
      <c r="J23" s="419" t="e">
        <f t="shared" ca="1" si="3"/>
        <v>#REF!</v>
      </c>
      <c r="K23" s="423">
        <f ca="1">IFERROR(__xludf.DUMMYFUNCTION("(F23*C23)/100*GOOGLEFINANCE (""Currency:USDRON"")"),0.3784124123472)</f>
        <v>0.37841241234720002</v>
      </c>
      <c r="L23" s="424">
        <f ca="1">IFERROR(__xludf.DUMMYFUNCTION("(((H23/GOOGLEFINANCE (""Currency:USDRON""))/D23)*C23)/100*GOOGLEFINANCE (""Currency:USDRON"")"),0.124575311438278)</f>
        <v>0.12457531143827801</v>
      </c>
      <c r="M23" s="556">
        <f t="shared" ca="1" si="2"/>
        <v>0.32920514067064471</v>
      </c>
      <c r="N23" s="426" t="e">
        <f>Divident_all!#REF!</f>
        <v>#REF!</v>
      </c>
      <c r="O23" s="426" t="e">
        <f>Divident_all!#REF!</f>
        <v>#REF!</v>
      </c>
      <c r="P23" s="427" t="e">
        <f>Divident_all!#REF!</f>
        <v>#REF!</v>
      </c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</row>
    <row r="24" spans="1:33" ht="12.75">
      <c r="A24" s="172"/>
      <c r="B24" s="418" t="e">
        <f>Divident_all!#REF!</f>
        <v>#REF!</v>
      </c>
      <c r="C24" s="418" t="e">
        <f>Divident_all!#REF!</f>
        <v>#REF!</v>
      </c>
      <c r="D24" s="419" t="e">
        <f>Divident_all!#REF!</f>
        <v>#REF!</v>
      </c>
      <c r="E24" s="420">
        <f ca="1">IFERROR(__xludf.DUMMYFUNCTION("(((H24/GOOGLEFINANCE (""Currency:USDRON""))/D24)+F24)"),0.0794407309959381)</f>
        <v>7.9440730995938097E-2</v>
      </c>
      <c r="F24" s="418" t="e">
        <f>Divident_all!#REF!</f>
        <v>#REF!</v>
      </c>
      <c r="G24" s="419">
        <f ca="1">IFERROR(__xludf.DUMMYFUNCTION("H24/GOOGLEFINANCE (""Currency:USDRON"")"),4.47207191091632)</f>
        <v>4.4720719109163198</v>
      </c>
      <c r="H24" s="421">
        <v>20</v>
      </c>
      <c r="I24" s="422" t="e">
        <f t="shared" si="5"/>
        <v>#REF!</v>
      </c>
      <c r="J24" s="419" t="e">
        <f t="shared" ca="1" si="3"/>
        <v>#REF!</v>
      </c>
      <c r="K24" s="423">
        <f ca="1">IFERROR(__xludf.DUMMYFUNCTION("(F24*C24)/100*GOOGLEFINANCE (""Currency:USDRON"")"),0.314748606024)</f>
        <v>0.31474860602400001</v>
      </c>
      <c r="L24" s="424">
        <f ca="1">IFERROR(__xludf.DUMMYFUNCTION("(((H24/GOOGLEFINANCE (""Currency:USDRON""))/D24)*C24)/100*GOOGLEFINANCE (""Currency:USDRON"")"),0.111581198568041)</f>
        <v>0.111581198568041</v>
      </c>
      <c r="M24" s="556">
        <f t="shared" ca="1" si="2"/>
        <v>0.35450895232728297</v>
      </c>
      <c r="N24" s="426" t="e">
        <f>Divident_all!#REF!</f>
        <v>#REF!</v>
      </c>
      <c r="O24" s="426" t="e">
        <f>Divident_all!#REF!</f>
        <v>#REF!</v>
      </c>
      <c r="P24" s="427" t="e">
        <f>Divident_all!#REF!</f>
        <v>#REF!</v>
      </c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</row>
    <row r="25" spans="1:33" ht="12.75">
      <c r="A25" s="172"/>
      <c r="B25" s="339" t="e">
        <f>Divident_all!#REF!</f>
        <v>#REF!</v>
      </c>
      <c r="C25" s="339" t="e">
        <f>Divident_all!#REF!</f>
        <v>#REF!</v>
      </c>
      <c r="D25" s="340" t="e">
        <f>Divident_all!#REF!</f>
        <v>#REF!</v>
      </c>
      <c r="E25" s="341">
        <f ca="1">IFERROR(__xludf.DUMMYFUNCTION("(((H25/GOOGLEFINANCE (""Currency:USDRON""))/D25)+F25)"),0.186761893153628)</f>
        <v>0.18676189315362801</v>
      </c>
      <c r="F25" s="339" t="e">
        <f>Divident_all!#REF!</f>
        <v>#REF!</v>
      </c>
      <c r="G25" s="340">
        <f ca="1">IFERROR(__xludf.DUMMYFUNCTION("H25/GOOGLEFINANCE (""Currency:USDRON"")"),4.47207191091632)</f>
        <v>4.4720719109163198</v>
      </c>
      <c r="H25" s="342">
        <v>20</v>
      </c>
      <c r="I25" s="343" t="e">
        <f t="shared" si="5"/>
        <v>#REF!</v>
      </c>
      <c r="J25" s="340" t="e">
        <f t="shared" ca="1" si="3"/>
        <v>#REF!</v>
      </c>
      <c r="K25" s="344">
        <f ca="1">IFERROR(__xludf.DUMMYFUNCTION("(F25*C25)/100*GOOGLEFINANCE (""Currency:USDRON"")"),0.417428301061799)</f>
        <v>0.41742830106179901</v>
      </c>
      <c r="L25" s="345">
        <f ca="1">IFERROR(__xludf.DUMMYFUNCTION("(((H25/GOOGLEFINANCE (""Currency:USDRON""))/D25)*C25)/100*GOOGLEFINANCE (""Currency:USDRON"")"),0.108770718232044)</f>
        <v>0.108770718232044</v>
      </c>
      <c r="M25" s="554">
        <f t="shared" ca="1" si="2"/>
        <v>0.26057341573479181</v>
      </c>
      <c r="N25" s="347" t="e">
        <f>Divident_all!#REF!</f>
        <v>#REF!</v>
      </c>
      <c r="O25" s="347" t="e">
        <f>Divident_all!#REF!</f>
        <v>#REF!</v>
      </c>
      <c r="P25" s="348" t="e">
        <f>Divident_all!#REF!</f>
        <v>#REF!</v>
      </c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</row>
    <row r="26" spans="1:33" ht="12.75">
      <c r="A26" s="172"/>
      <c r="B26" s="418" t="e">
        <f>Divident_all!#REF!</f>
        <v>#REF!</v>
      </c>
      <c r="C26" s="418" t="e">
        <f>Divident_all!#REF!</f>
        <v>#REF!</v>
      </c>
      <c r="D26" s="419" t="e">
        <f>Divident_all!#REF!</f>
        <v>#REF!</v>
      </c>
      <c r="E26" s="420">
        <f ca="1">IFERROR(__xludf.DUMMYFUNCTION("(((H26/GOOGLEFINANCE (""Currency:USDRON""))/D26)+F26)"),0.0390229121367321)</f>
        <v>3.9022912136732098E-2</v>
      </c>
      <c r="F26" s="418" t="e">
        <f>Divident_all!#REF!</f>
        <v>#REF!</v>
      </c>
      <c r="G26" s="419">
        <f ca="1">IFERROR(__xludf.DUMMYFUNCTION("H26/GOOGLEFINANCE (""Currency:USDRON"")"),3.35405393318724)</f>
        <v>3.3540539331872399</v>
      </c>
      <c r="H26" s="421">
        <v>15</v>
      </c>
      <c r="I26" s="422" t="e">
        <f t="shared" si="5"/>
        <v>#REF!</v>
      </c>
      <c r="J26" s="419" t="e">
        <f t="shared" ca="1" si="3"/>
        <v>#REF!</v>
      </c>
      <c r="K26" s="423">
        <f ca="1">IFERROR(__xludf.DUMMYFUNCTION("(F26*C26)/100*GOOGLEFINANCE (""Currency:USDRON"")"),0.168946858425)</f>
        <v>0.16894685842500001</v>
      </c>
      <c r="L26" s="424">
        <f ca="1">IFERROR(__xludf.DUMMYFUNCTION("(((H26/GOOGLEFINANCE (""Currency:USDRON""))/D26)*C26)/100*GOOGLEFINANCE (""Currency:USDRON"")"),0.0492009761473667)</f>
        <v>4.9200976147366703E-2</v>
      </c>
      <c r="M26" s="556">
        <f t="shared" ca="1" si="2"/>
        <v>0.29122161019175341</v>
      </c>
      <c r="N26" s="426" t="e">
        <f>Divident_all!#REF!</f>
        <v>#REF!</v>
      </c>
      <c r="O26" s="426" t="e">
        <f>Divident_all!#REF!</f>
        <v>#REF!</v>
      </c>
      <c r="P26" s="427" t="e">
        <f>Divident_all!#REF!</f>
        <v>#REF!</v>
      </c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</row>
    <row r="29" spans="1:33" ht="12.75">
      <c r="A29" s="172"/>
      <c r="B29" s="376"/>
      <c r="C29" s="376"/>
      <c r="D29" s="377"/>
      <c r="E29" s="378"/>
      <c r="F29" s="376"/>
      <c r="G29" s="377"/>
      <c r="H29" s="376"/>
      <c r="I29" s="379"/>
      <c r="J29" s="377"/>
      <c r="K29" s="380"/>
      <c r="L29" s="380"/>
      <c r="M29" s="380"/>
      <c r="N29" s="381"/>
      <c r="O29" s="381"/>
      <c r="P29" s="38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</row>
    <row r="30" spans="1:33" ht="12.75">
      <c r="A30" s="172"/>
      <c r="B30" s="376"/>
      <c r="C30" s="376"/>
      <c r="D30" s="377"/>
      <c r="E30" s="378"/>
      <c r="F30" s="376"/>
      <c r="G30" s="377"/>
      <c r="H30" s="376"/>
      <c r="I30" s="379"/>
      <c r="J30" s="377"/>
      <c r="K30" s="380"/>
      <c r="L30" s="380"/>
      <c r="M30" s="380"/>
      <c r="N30" s="381"/>
      <c r="O30" s="381"/>
      <c r="P30" s="38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D1007"/>
  <sheetViews>
    <sheetView workbookViewId="0"/>
  </sheetViews>
  <sheetFormatPr defaultColWidth="12.5703125" defaultRowHeight="15.75" customHeight="1"/>
  <cols>
    <col min="4" max="4" width="16.7109375" customWidth="1"/>
  </cols>
  <sheetData>
    <row r="1" spans="1:30" ht="12.75">
      <c r="A1" s="434">
        <v>2022</v>
      </c>
      <c r="B1" s="435">
        <f ca="1">SUM(D33,H33,L33,P33)</f>
        <v>82.768762793581288</v>
      </c>
      <c r="C1" s="436">
        <f>SUM(D31,H31,L31,P31)</f>
        <v>36.81</v>
      </c>
      <c r="E1" s="437">
        <f>(Divident_all!B2)</f>
        <v>0</v>
      </c>
    </row>
    <row r="2" spans="1:30" ht="12.75">
      <c r="A2" s="438" t="s">
        <v>12</v>
      </c>
      <c r="B2" s="263"/>
      <c r="C2" s="263"/>
      <c r="D2" s="264"/>
      <c r="E2" s="438" t="s">
        <v>13</v>
      </c>
      <c r="F2" s="263"/>
      <c r="G2" s="263"/>
      <c r="H2" s="264"/>
      <c r="I2" s="438" t="s">
        <v>14</v>
      </c>
      <c r="J2" s="263"/>
      <c r="K2" s="263"/>
      <c r="L2" s="264"/>
      <c r="M2" s="438" t="s">
        <v>15</v>
      </c>
      <c r="N2" s="263"/>
      <c r="O2" s="263"/>
      <c r="P2" s="264"/>
    </row>
    <row r="3" spans="1:30" ht="12.75">
      <c r="A3" s="443" t="s">
        <v>40</v>
      </c>
      <c r="B3" s="444" t="s">
        <v>210</v>
      </c>
      <c r="C3" s="444" t="s">
        <v>126</v>
      </c>
      <c r="D3" s="52"/>
      <c r="E3" s="443" t="s">
        <v>40</v>
      </c>
      <c r="F3" s="443" t="s">
        <v>210</v>
      </c>
      <c r="G3" s="444" t="s">
        <v>126</v>
      </c>
      <c r="H3" s="52"/>
      <c r="I3" s="443" t="s">
        <v>40</v>
      </c>
      <c r="J3" s="443" t="s">
        <v>210</v>
      </c>
      <c r="K3" s="444" t="s">
        <v>126</v>
      </c>
      <c r="L3" s="52"/>
      <c r="M3" s="443" t="s">
        <v>40</v>
      </c>
      <c r="N3" s="443" t="s">
        <v>210</v>
      </c>
      <c r="O3" s="444" t="s">
        <v>126</v>
      </c>
      <c r="P3" s="52"/>
    </row>
    <row r="4" spans="1:30" ht="12.75">
      <c r="A4" s="443" t="s">
        <v>222</v>
      </c>
      <c r="B4" s="450">
        <v>2.79</v>
      </c>
      <c r="C4" s="450">
        <v>2.79</v>
      </c>
      <c r="D4" s="52"/>
      <c r="E4" s="448" t="e">
        <f>Divident_all!#REF!</f>
        <v>#REF!</v>
      </c>
      <c r="F4" s="449">
        <f ca="1">IFERROR(__xludf.DUMMYFUNCTION("Divident_all!L9*GOOGLEFINANCE (""Currency:USDRON"")"),0.642263643612)</f>
        <v>0.64226364361199995</v>
      </c>
      <c r="G4" s="450">
        <v>0.38</v>
      </c>
      <c r="H4" s="52"/>
      <c r="I4" s="448" t="e">
        <f>Divident_all!#REF!</f>
        <v>#REF!</v>
      </c>
      <c r="J4" s="449">
        <f ca="1">IFERROR(__xludf.DUMMYFUNCTION("Divident_all!L58*GOOGLEFINANCE (""Currency:USDRON"")"),1.1444263468812)</f>
        <v>1.1444263468811999</v>
      </c>
      <c r="K4" s="450">
        <v>0.39</v>
      </c>
      <c r="L4" s="52"/>
      <c r="M4" s="448" t="e">
        <f>Divident_all!#REF!</f>
        <v>#REF!</v>
      </c>
      <c r="N4" s="449">
        <f ca="1">IFERROR(__xludf.DUMMYFUNCTION("Divident_all!L55*GOOGLEFINANCE (""Currency:USDRON"")"),0.9657891612738)</f>
        <v>0.96578916127379999</v>
      </c>
      <c r="O4" s="450">
        <v>0.22</v>
      </c>
      <c r="P4" s="52"/>
    </row>
    <row r="5" spans="1:30" ht="12.75">
      <c r="A5" s="448" t="e">
        <f>Divident_all!#REF!</f>
        <v>#REF!</v>
      </c>
      <c r="B5" s="449">
        <f ca="1">IFERROR(__xludf.DUMMYFUNCTION("Divident_all!L33*GOOGLEFINANCE (""Currency:USDRON"")"),0.19472186502063)</f>
        <v>0.19472186502062999</v>
      </c>
      <c r="C5" s="450">
        <v>0.11</v>
      </c>
      <c r="D5" s="52"/>
      <c r="E5" s="448" t="e">
        <f>Divident_all!#REF!</f>
        <v>#REF!</v>
      </c>
      <c r="F5" s="449">
        <f ca="1">IFERROR(__xludf.DUMMYFUNCTION("Divident_all!L50*GOOGLEFINANCE (""Currency:USDRON"")"),0.266959456113794)</f>
        <v>0.26695945611379401</v>
      </c>
      <c r="G5" s="450">
        <v>0.16</v>
      </c>
      <c r="H5" s="52"/>
      <c r="I5" s="448" t="e">
        <f>Divident_all!#REF!</f>
        <v>#REF!</v>
      </c>
      <c r="J5" s="449">
        <f ca="1">IFERROR(__xludf.DUMMYFUNCTION("Divident_all!L57*GOOGLEFINANCE (""Currency:USDRON"")"),1.3865127738363)</f>
        <v>1.3865127738362999</v>
      </c>
      <c r="K5" s="450">
        <v>0.53</v>
      </c>
      <c r="L5" s="52"/>
      <c r="M5" s="448" t="e">
        <f>Divident_all!#REF!</f>
        <v>#REF!</v>
      </c>
      <c r="N5" s="449">
        <f ca="1">IFERROR(__xludf.DUMMYFUNCTION("Divident_all!L54*GOOGLEFINANCE (""Currency:USDRON"")"),0.70999452585936)</f>
        <v>0.70999452585935996</v>
      </c>
      <c r="O5" s="450">
        <v>0.16</v>
      </c>
      <c r="P5" s="52"/>
    </row>
    <row r="6" spans="1:30" ht="12.75">
      <c r="A6" s="448" t="e">
        <f>Divident_all!#REF!</f>
        <v>#REF!</v>
      </c>
      <c r="B6" s="449">
        <f ca="1">IFERROR(__xludf.DUMMYFUNCTION("Divident_all!L4*GOOGLEFINANCE (""Currency:USDRON"")"),0.53686773912096)</f>
        <v>0.53686773912095997</v>
      </c>
      <c r="C6" s="450">
        <v>0.37</v>
      </c>
      <c r="D6" s="52"/>
      <c r="E6" s="448" t="e">
        <f>Divident_all!#REF!</f>
        <v>#REF!</v>
      </c>
      <c r="F6" s="449">
        <f ca="1">IFERROR(__xludf.DUMMYFUNCTION("Divident_all!L43*GOOGLEFINANCE (""Currency:USDRON"")"),0.79647816022488)</f>
        <v>0.79647816022488005</v>
      </c>
      <c r="G6" s="450">
        <v>0.34</v>
      </c>
      <c r="H6" s="52"/>
      <c r="I6" s="448" t="e">
        <f>Divident_all!#REF!</f>
        <v>#REF!</v>
      </c>
      <c r="J6" s="449">
        <f ca="1">IFERROR(__xludf.DUMMYFUNCTION("Divident_all!L11*GOOGLEFINANCE (""Currency:USDRON"")"),1.1231711519976)</f>
        <v>1.1231711519976</v>
      </c>
      <c r="K6" s="450">
        <v>0.36</v>
      </c>
      <c r="L6" s="52"/>
      <c r="M6" s="448" t="e">
        <f>Divident_all!#REF!</f>
        <v>#REF!</v>
      </c>
      <c r="N6" s="449">
        <f ca="1">IFERROR(__xludf.DUMMYFUNCTION("Divident_all!L59*GOOGLEFINANCE (""Currency:USDRON"")"),1.071149009994)</f>
        <v>1.071149009994</v>
      </c>
      <c r="O6" s="450">
        <v>0.18</v>
      </c>
      <c r="P6" s="52"/>
    </row>
    <row r="7" spans="1:30" ht="12.75">
      <c r="A7" s="448" t="e">
        <f>Divident_all!#REF!</f>
        <v>#REF!</v>
      </c>
      <c r="B7" s="449">
        <f ca="1">IFERROR(__xludf.DUMMYFUNCTION("Divident_all!L49*GOOGLEFINANCE (""Currency:USDRON"")"),0.31895551512)</f>
        <v>0.31895551511999998</v>
      </c>
      <c r="C7" s="450">
        <v>0.13</v>
      </c>
      <c r="D7" s="52"/>
      <c r="E7" s="448" t="e">
        <f>Divident_all!#REF!</f>
        <v>#REF!</v>
      </c>
      <c r="F7" s="449">
        <f ca="1">IFERROR(__xludf.DUMMYFUNCTION("Divident_all!L10*GOOGLEFINANCE (""Currency:USDRON"")"),2.0661855676884)</f>
        <v>2.0661855676883998</v>
      </c>
      <c r="G7" s="450">
        <v>0.67</v>
      </c>
      <c r="H7" s="52"/>
      <c r="I7" s="448" t="e">
        <f>Divident_all!#REF!</f>
        <v>#REF!</v>
      </c>
      <c r="J7" s="449">
        <f ca="1">IFERROR(__xludf.DUMMYFUNCTION("Divident_all!L52*GOOGLEFINANCE (""Currency:USDRON"")"),0.10316162199312)</f>
        <v>0.10316162199312</v>
      </c>
      <c r="K7" s="450">
        <v>0.02</v>
      </c>
      <c r="L7" s="52"/>
      <c r="M7" s="448" t="e">
        <f>Divident_all!#REF!</f>
        <v>#REF!</v>
      </c>
      <c r="N7" s="449">
        <f ca="1">IFERROR(__xludf.DUMMYFUNCTION("Divident_all!L51*GOOGLEFINANCE (""Currency:USDRON"")"),0.270365537962079)</f>
        <v>0.27036553796207902</v>
      </c>
      <c r="O7" s="450">
        <v>0.13</v>
      </c>
      <c r="P7" s="52"/>
    </row>
    <row r="8" spans="1:30" ht="12.75">
      <c r="A8" s="448" t="str">
        <f>Divident_all!B3</f>
        <v>AMD</v>
      </c>
      <c r="B8" s="449">
        <f ca="1">IFERROR(__xludf.DUMMYFUNCTION("Divident_all!L3*GOOGLEFINANCE (""Currency:USDRON"")"),2.53618266341249)</f>
        <v>2.53618266341249</v>
      </c>
      <c r="C8" s="450">
        <v>0.64</v>
      </c>
      <c r="D8" s="52"/>
      <c r="E8" s="448" t="e">
        <f>Divident_all!#REF!</f>
        <v>#REF!</v>
      </c>
      <c r="F8" s="449">
        <f ca="1">IFERROR(__xludf.DUMMYFUNCTION("Divident_all!L47*GOOGLEFINANCE (""Currency:USDRON"")"),3.338202492576)</f>
        <v>3.3382024925759999</v>
      </c>
      <c r="G8" s="450">
        <v>1.56</v>
      </c>
      <c r="H8" s="52"/>
      <c r="I8" s="448" t="e">
        <f>Divident_all!#REF!</f>
        <v>#REF!</v>
      </c>
      <c r="J8" s="449">
        <f ca="1">IFERROR(__xludf.DUMMYFUNCTION("Divident_all!L37*GOOGLEFINANCE (""Currency:USDRON"")"),0.34057117111248)</f>
        <v>0.34057117111247998</v>
      </c>
      <c r="K8" s="450">
        <v>0.17</v>
      </c>
      <c r="L8" s="52"/>
      <c r="M8" s="448" t="e">
        <f>Divident_all!#REF!</f>
        <v>#REF!</v>
      </c>
      <c r="N8" s="449">
        <f ca="1">IFERROR(__xludf.DUMMYFUNCTION("Divident_all!L53*GOOGLEFINANCE (""Currency:USDRON"")"),1.49341072438871)</f>
        <v>1.49341072438871</v>
      </c>
      <c r="O8" s="450">
        <v>0.21</v>
      </c>
      <c r="P8" s="52"/>
    </row>
    <row r="9" spans="1:30" ht="12.75">
      <c r="A9" s="448" t="e">
        <f>Divident_all!#REF!</f>
        <v>#REF!</v>
      </c>
      <c r="B9" s="449">
        <f ca="1">IFERROR(__xludf.DUMMYFUNCTION("Divident_all!L26*GOOGLEFINANCE (""Currency:USDRON"")"),1.30271922277884)</f>
        <v>1.30271922277884</v>
      </c>
      <c r="C9" s="450">
        <v>0.99</v>
      </c>
      <c r="D9" s="52"/>
      <c r="E9" s="448" t="e">
        <f>Divident_all!#REF!</f>
        <v>#REF!</v>
      </c>
      <c r="F9" s="449">
        <f ca="1">IFERROR(__xludf.DUMMYFUNCTION("Divident_all!L40*GOOGLEFINANCE (""Currency:USDRON"")"),2.0113246676655)</f>
        <v>2.0113246676654999</v>
      </c>
      <c r="G9" s="450">
        <v>0.19</v>
      </c>
      <c r="H9" s="52"/>
      <c r="I9" s="448" t="e">
        <f>Divident_all!#REF!</f>
        <v>#REF!</v>
      </c>
      <c r="J9" s="449">
        <f ca="1">IFERROR(__xludf.DUMMYFUNCTION("Divident_all!L21*GOOGLEFINANCE (""Currency:USDRON"")"),1.52155191945599)</f>
        <v>1.5215519194559901</v>
      </c>
      <c r="K9" s="450">
        <v>0.35</v>
      </c>
      <c r="L9" s="52"/>
      <c r="M9" s="448" t="e">
        <f>Divident_all!#REF!</f>
        <v>#REF!</v>
      </c>
      <c r="N9" s="449">
        <f ca="1">IFERROR(__xludf.DUMMYFUNCTION("Divident_all!L36*GOOGLEFINANCE (""Currency:USDRON"")"),0.55758699584262)</f>
        <v>0.55758699584261995</v>
      </c>
      <c r="O9" s="450">
        <v>0.08</v>
      </c>
      <c r="P9" s="52"/>
    </row>
    <row r="10" spans="1:30" ht="12.75">
      <c r="A10" s="448" t="e">
        <f>Divident_all!#REF!</f>
        <v>#REF!</v>
      </c>
      <c r="B10" s="449">
        <f ca="1">IFERROR(__xludf.DUMMYFUNCTION("Divident_all!L20*GOOGLEFINANCE (""Currency:USDRON"")"),0.358590298175999)</f>
        <v>0.35859029817599902</v>
      </c>
      <c r="C10" s="450">
        <v>1.42</v>
      </c>
      <c r="E10" s="448" t="e">
        <f>Divident_all!#REF!</f>
        <v>#REF!</v>
      </c>
      <c r="F10" s="449">
        <f ca="1">IFERROR(__xludf.DUMMYFUNCTION("Divident_all!L44*GOOGLEFINANCE (""Currency:USDRON"")"),0.9558798416379)</f>
        <v>0.95587984163789996</v>
      </c>
      <c r="G10" s="450">
        <v>0.15</v>
      </c>
      <c r="I10" s="448" t="e">
        <f>Divident_all!#REF!</f>
        <v>#REF!</v>
      </c>
      <c r="J10" s="449">
        <f ca="1">IFERROR(__xludf.DUMMYFUNCTION("Divident_all!L56*GOOGLEFINANCE (""Currency:USDRON"")"),0.72971159878584)</f>
        <v>0.72971159878584002</v>
      </c>
      <c r="K10" s="450">
        <v>0.33</v>
      </c>
      <c r="M10" s="448" t="e">
        <f>Divident_all!#REF!</f>
        <v>#REF!</v>
      </c>
      <c r="N10" s="449">
        <f ca="1">IFERROR(__xludf.DUMMYFUNCTION("Divident_all!L33*GOOGLEFINANCE (""Currency:USDRON"")"),0.19472186502063)</f>
        <v>0.19472186502062999</v>
      </c>
      <c r="O10" s="450">
        <v>0.14000000000000001</v>
      </c>
      <c r="P10" s="52"/>
    </row>
    <row r="11" spans="1:30" ht="12.75">
      <c r="A11" s="448" t="e">
        <f>Divident_all!#REF!</f>
        <v>#REF!</v>
      </c>
      <c r="B11" s="449">
        <f ca="1">IFERROR(__xludf.DUMMYFUNCTION("Divident_all!L14*GOOGLEFINANCE (""Currency:USDRON"")"),0.43066685070486)</f>
        <v>0.43066685070485999</v>
      </c>
      <c r="C11" s="450">
        <v>0.23</v>
      </c>
      <c r="E11" s="448" t="e">
        <f>Divident_all!#REF!</f>
        <v>#REF!</v>
      </c>
      <c r="F11" s="449">
        <f ca="1">IFERROR(__xludf.DUMMYFUNCTION("Divident_all!L28*GOOGLEFINANCE (""Currency:USDRON"")"),0.557300340791999)</f>
        <v>0.55730034079199897</v>
      </c>
      <c r="G11" s="450">
        <v>0.24</v>
      </c>
      <c r="I11" s="448" t="e">
        <f>Divident_all!#REF!</f>
        <v>#REF!</v>
      </c>
      <c r="J11" s="449">
        <f ca="1">IFERROR(__xludf.DUMMYFUNCTION("Divident_all!L15*GOOGLEFINANCE (""Currency:USDRON"")"),0.4095742368384)</f>
        <v>0.4095742368384</v>
      </c>
      <c r="K11" s="450">
        <v>0.2</v>
      </c>
      <c r="M11" s="448" t="e">
        <f>Divident_all!#REF!</f>
        <v>#REF!</v>
      </c>
      <c r="N11" s="449">
        <f ca="1">IFERROR(__xludf.DUMMYFUNCTION("Divident_all!L40*GOOGLEFINANCE (""Currency:USDRON"")"),2.0113246676655)</f>
        <v>2.0113246676654999</v>
      </c>
      <c r="O11" s="450">
        <v>0.56000000000000005</v>
      </c>
      <c r="P11" s="52"/>
    </row>
    <row r="12" spans="1:30" ht="12.75">
      <c r="A12" s="448" t="e">
        <f>Divident_all!#REF!</f>
        <v>#REF!</v>
      </c>
      <c r="B12" s="449">
        <f ca="1">IFERROR(__xludf.DUMMYFUNCTION("Divident_all!L40*GOOGLEFINANCE (""Currency:USDRON"")"),2.0113246676655)</f>
        <v>2.0113246676654999</v>
      </c>
      <c r="C12" s="450">
        <v>0.05</v>
      </c>
      <c r="E12" s="448" t="e">
        <f>Divident_all!#REF!</f>
        <v>#REF!</v>
      </c>
      <c r="F12" s="449">
        <f ca="1">IFERROR(__xludf.DUMMYFUNCTION("GOOGLEFINANCE (""Currency:USDRON"")*Divident_all!L12"),0.933845632000199)</f>
        <v>0.93384563200019899</v>
      </c>
      <c r="G12" s="450">
        <v>0.37</v>
      </c>
      <c r="I12" s="448" t="e">
        <f>Divident_all!#REF!</f>
        <v>#REF!</v>
      </c>
      <c r="J12" s="449">
        <f ca="1">IFERROR(__xludf.DUMMYFUNCTION("Divident_all!L40*GOOGLEFINANCE (""Currency:USDRON"")"),2.0113246676655)</f>
        <v>2.0113246676654999</v>
      </c>
      <c r="K12" s="450">
        <v>0.39</v>
      </c>
      <c r="M12" s="448" t="e">
        <f>Divident_all!#REF!</f>
        <v>#REF!</v>
      </c>
      <c r="N12" s="449">
        <f ca="1">IFERROR(__xludf.DUMMYFUNCTION("Divident_all!L9*GOOGLEFINANCE (""Currency:USDRON"")"),0.642263643612)</f>
        <v>0.64226364361199995</v>
      </c>
      <c r="O12" s="450">
        <v>0.47</v>
      </c>
      <c r="P12" s="52"/>
    </row>
    <row r="13" spans="1:30" ht="12.75">
      <c r="A13" s="448" t="e">
        <f>Divident_all!#REF!</f>
        <v>#REF!</v>
      </c>
      <c r="B13" s="449">
        <f ca="1">IFERROR(__xludf.DUMMYFUNCTION("Divident_all!L51*GOOGLEFINANCE (""Currency:USDRON"")"),0.270365537962079)</f>
        <v>0.27036553796207902</v>
      </c>
      <c r="C13" s="449">
        <v>0</v>
      </c>
      <c r="E13" s="448" t="e">
        <f>Divident_all!#REF!</f>
        <v>#REF!</v>
      </c>
      <c r="F13" s="449">
        <f ca="1">IFERROR(__xludf.DUMMYFUNCTION("GOOGLEFINANCE (""Currency:USDRON"")*Divident_all!L31"),0.37568547095562)</f>
        <v>0.37568547095561999</v>
      </c>
      <c r="G13" s="450">
        <v>0.13</v>
      </c>
      <c r="I13" s="448" t="e">
        <f>Divident_all!#REF!</f>
        <v>#REF!</v>
      </c>
      <c r="J13" s="449">
        <f ca="1">IFERROR(__xludf.DUMMYFUNCTION("Divident_all!L29*GOOGLEFINANCE (""Currency:USDRON"")"),1.42845372955799)</f>
        <v>1.42845372955799</v>
      </c>
      <c r="K13" s="450">
        <v>0.51</v>
      </c>
      <c r="M13" s="448" t="e">
        <f>Divident_all!#REF!</f>
        <v>#REF!</v>
      </c>
      <c r="N13" s="449">
        <f ca="1">IFERROR(__xludf.DUMMYFUNCTION("Divident_all!L4*GOOGLEFINANCE (""Currency:USDRON"")"),0.53686773912096)</f>
        <v>0.53686773912095997</v>
      </c>
      <c r="O13" s="450">
        <v>0.45</v>
      </c>
      <c r="P13" s="52"/>
      <c r="AD13" s="2" t="s">
        <v>223</v>
      </c>
    </row>
    <row r="14" spans="1:30" ht="12.75">
      <c r="A14" s="448" t="e">
        <f>Divident_all!#REF!</f>
        <v>#REF!</v>
      </c>
      <c r="B14" s="449">
        <f ca="1">IFERROR(__xludf.DUMMYFUNCTION("Divident_all!L8*GOOGLEFINANCE (""Currency:USDRON"")"),0.09953563826052)</f>
        <v>9.9535638260520004E-2</v>
      </c>
      <c r="C14" s="450">
        <v>0.03</v>
      </c>
      <c r="E14" s="448"/>
      <c r="F14" s="448"/>
      <c r="G14" s="448"/>
      <c r="I14" s="448" t="e">
        <f>Divident_all!#REF!</f>
        <v>#REF!</v>
      </c>
      <c r="J14" s="449">
        <f ca="1">IFERROR(__xludf.DUMMYFUNCTION("Divident_all!L44*GOOGLEFINANCE (""Currency:USDRON"")"),0.9558798416379)</f>
        <v>0.95587984163789996</v>
      </c>
      <c r="K14" s="450">
        <v>0.21</v>
      </c>
      <c r="M14" s="448" t="e">
        <f>Divident_all!#REF!</f>
        <v>#REF!</v>
      </c>
      <c r="N14" s="449">
        <f ca="1">IFERROR(__xludf.DUMMYFUNCTION("Divident_all!L7*GOOGLEFINANCE (""Currency:USDRON"")"),1.24547379177959)</f>
        <v>1.2454737917795899</v>
      </c>
      <c r="O14" s="450">
        <v>0.53</v>
      </c>
      <c r="P14" s="52"/>
    </row>
    <row r="15" spans="1:30" ht="12.75">
      <c r="A15" s="448" t="e">
        <f>Divident_all!#REF!</f>
        <v>#REF!</v>
      </c>
      <c r="B15" s="449">
        <f ca="1">IFERROR(__xludf.DUMMYFUNCTION("Divident_all!L42*GOOGLEFINANCE (""Currency:USDRON"")"),0.885893912020799)</f>
        <v>0.88589391202079903</v>
      </c>
      <c r="C15" s="450">
        <v>0.26</v>
      </c>
      <c r="E15" s="448"/>
      <c r="F15" s="448"/>
      <c r="G15" s="448"/>
      <c r="I15" s="448" t="e">
        <f>Divident_all!#REF!</f>
        <v>#REF!</v>
      </c>
      <c r="J15" s="449">
        <f ca="1">IFERROR(__xludf.DUMMYFUNCTION("Divident_all!L16*GOOGLEFINANCE (""Currency:USDRON"")"),0.455503469451726)</f>
        <v>0.45550346945172598</v>
      </c>
      <c r="K15" s="450">
        <v>0.27</v>
      </c>
      <c r="M15" s="448" t="e">
        <f>Divident_all!#REF!</f>
        <v>#REF!</v>
      </c>
      <c r="N15" s="449">
        <f ca="1">IFERROR(__xludf.DUMMYFUNCTION("Divident_all!L44*GOOGLEFINANCE (""Currency:USDRON"")"),0.9558798416379)</f>
        <v>0.95587984163789996</v>
      </c>
      <c r="O15" s="450">
        <v>0.28999999999999998</v>
      </c>
      <c r="P15" s="52"/>
    </row>
    <row r="16" spans="1:30" ht="15.75" customHeight="1">
      <c r="A16" s="448" t="e">
        <f>Divident_all!#REF!</f>
        <v>#REF!</v>
      </c>
      <c r="B16" s="449">
        <f ca="1">IFERROR(__xludf.DUMMYFUNCTION("Divident_all!L23*GOOGLEFINANCE (""Currency:USDRON"")"),0.8548707950487)</f>
        <v>0.85487079504870001</v>
      </c>
      <c r="C16" s="450">
        <v>0</v>
      </c>
      <c r="D16" s="457"/>
      <c r="E16" s="448"/>
      <c r="F16" s="448"/>
      <c r="G16" s="448"/>
      <c r="H16" s="457"/>
      <c r="I16" s="448" t="e">
        <f>Divident_all!#REF!</f>
        <v>#REF!</v>
      </c>
      <c r="J16" s="449">
        <f ca="1">IFERROR(__xludf.DUMMYFUNCTION("Divident_all!L48*GOOGLEFINANCE (""Currency:USDRON"")"),4.7610937802736)</f>
        <v>4.7610937802736002</v>
      </c>
      <c r="K16" s="450">
        <v>1.47</v>
      </c>
      <c r="L16" s="457"/>
      <c r="M16" s="448" t="e">
        <f>Divident_all!#REF!</f>
        <v>#REF!</v>
      </c>
      <c r="N16" s="449">
        <f ca="1">IFERROR(__xludf.DUMMYFUNCTION("Divident_all!L49*GOOGLEFINANCE (""Currency:USDRON"")"),0.31895551512)</f>
        <v>0.31895551511999998</v>
      </c>
      <c r="O16" s="450">
        <v>0.2</v>
      </c>
      <c r="P16" s="52"/>
    </row>
    <row r="17" spans="1:16" ht="15.75" customHeight="1">
      <c r="A17" s="448" t="e">
        <f>Divident_all!#REF!</f>
        <v>#REF!</v>
      </c>
      <c r="B17" s="449">
        <f ca="1">IFERROR(__xludf.DUMMYFUNCTION("Divident_all!L46*GOOGLEFINANCE (""Currency:USDRON"")"),1.3726661785146)</f>
        <v>1.3726661785145999</v>
      </c>
      <c r="C17" s="450">
        <v>0.32</v>
      </c>
      <c r="D17" s="458"/>
      <c r="E17" s="448"/>
      <c r="F17" s="448"/>
      <c r="G17" s="448"/>
      <c r="H17" s="458"/>
      <c r="I17" s="448"/>
      <c r="J17" s="448"/>
      <c r="K17" s="449"/>
      <c r="L17" s="458"/>
      <c r="M17" s="448" t="str">
        <f>Divident_all!B3</f>
        <v>AMD</v>
      </c>
      <c r="N17" s="449">
        <f ca="1">IFERROR(__xludf.DUMMYFUNCTION("Divident_all!L3*GOOGLEFINANCE (""Currency:USDRON"")"),2.53618266341249)</f>
        <v>2.53618266341249</v>
      </c>
      <c r="O17" s="450">
        <v>1.67</v>
      </c>
      <c r="P17" s="52"/>
    </row>
    <row r="18" spans="1:16" ht="12.75">
      <c r="A18" s="448" t="e">
        <f>Divident_all!#REF!</f>
        <v>#REF!</v>
      </c>
      <c r="B18" s="449">
        <f ca="1">IFERROR(__xludf.DUMMYFUNCTION("Divident_all!L7*GOOGLEFINANCE (""Currency:USDRON"")"),1.24547379177959)</f>
        <v>1.2454737917795899</v>
      </c>
      <c r="C18" s="450">
        <v>0.15</v>
      </c>
      <c r="E18" s="448"/>
      <c r="F18" s="448"/>
      <c r="G18" s="448"/>
      <c r="I18" s="448" t="e">
        <f>Divident_all!#REF!</f>
        <v>#REF!</v>
      </c>
      <c r="J18" s="449">
        <f ca="1">IFERROR(__xludf.DUMMYFUNCTION("Divident_all!L64*GOOGLEFINANCE (""Currency:USDRON"")"),0.6145746993225)</f>
        <v>0.61457469932249997</v>
      </c>
      <c r="K18" s="450">
        <v>0.42</v>
      </c>
      <c r="M18" s="443" t="s">
        <v>222</v>
      </c>
      <c r="N18" s="450">
        <v>5.21</v>
      </c>
      <c r="O18" s="450">
        <v>5.78</v>
      </c>
      <c r="P18" s="52"/>
    </row>
    <row r="19" spans="1:16" ht="12.75">
      <c r="A19" s="448"/>
      <c r="B19" s="448"/>
      <c r="C19" s="449"/>
      <c r="E19" s="448"/>
      <c r="F19" s="448"/>
      <c r="G19" s="448"/>
      <c r="I19" s="448" t="e">
        <f>Divident_all!#REF!</f>
        <v>#REF!</v>
      </c>
      <c r="J19" s="449">
        <f ca="1">IFERROR(__xludf.DUMMYFUNCTION("Divident_all!L38*GOOGLEFINANCE (""Currency:USDRON"")"),0.1520521725825)</f>
        <v>0.15205217258250001</v>
      </c>
      <c r="K19" s="450">
        <v>0.09</v>
      </c>
      <c r="M19" s="448" t="e">
        <f>Divident_all!#REF!</f>
        <v>#REF!</v>
      </c>
      <c r="N19" s="449">
        <f ca="1">IFERROR(__xludf.DUMMYFUNCTION("Divident_all!L20*GOOGLEFINANCE (""Currency:USDRON"")"),0.358590298175999)</f>
        <v>0.35859029817599902</v>
      </c>
      <c r="O19" s="450">
        <v>1.73</v>
      </c>
      <c r="P19" s="52"/>
    </row>
    <row r="20" spans="1:16" ht="12.75">
      <c r="A20" s="448"/>
      <c r="B20" s="448"/>
      <c r="C20" s="449"/>
      <c r="E20" s="448"/>
      <c r="F20" s="448"/>
      <c r="G20" s="448"/>
      <c r="I20" s="448" t="e">
        <f>Divident_all!#REF!</f>
        <v>#REF!</v>
      </c>
      <c r="J20" s="449">
        <f ca="1">IFERROR(__xludf.DUMMYFUNCTION("Divident_all!L45*GOOGLEFINANCE (""Currency:USDRON"")"),1.239067351863)</f>
        <v>1.239067351863</v>
      </c>
      <c r="K20" s="450">
        <v>0.34</v>
      </c>
      <c r="M20" s="448" t="e">
        <f>Divident_all!#REF!</f>
        <v>#REF!</v>
      </c>
      <c r="N20" s="449">
        <f ca="1">IFERROR(__xludf.DUMMYFUNCTION("Divident_all!L6*GOOGLEFINANCE (""Currency:EURRON"")"),0.597001416241303)</f>
        <v>0.59700141624130298</v>
      </c>
      <c r="O20" s="450">
        <v>0.3</v>
      </c>
      <c r="P20" s="52"/>
    </row>
    <row r="21" spans="1:16" ht="12.75">
      <c r="A21" s="448"/>
      <c r="B21" s="448"/>
      <c r="C21" s="449"/>
      <c r="E21" s="448"/>
      <c r="F21" s="448"/>
      <c r="G21" s="448"/>
      <c r="I21" s="448" t="e">
        <f>Divident_all!#REF!</f>
        <v>#REF!</v>
      </c>
      <c r="J21" s="449">
        <f ca="1">IFERROR(__xludf.DUMMYFUNCTION("Divident_all!L63*GOOGLEFINANCE (""Currency:USDRON"")"),1.0633581983313)</f>
        <v>1.0633581983313001</v>
      </c>
      <c r="K21" s="450">
        <v>0.18</v>
      </c>
      <c r="M21" s="448" t="e">
        <f>Divident_all!#REF!</f>
        <v>#REF!</v>
      </c>
      <c r="N21" s="449">
        <f ca="1">IFERROR(__xludf.DUMMYFUNCTION("Divident_all!L24*GOOGLEFINANCE (""Currency:USDRON"")"),1.38029479555823)</f>
        <v>1.3802947955582301</v>
      </c>
      <c r="O21" s="450">
        <v>0.2</v>
      </c>
      <c r="P21" s="52"/>
    </row>
    <row r="22" spans="1:16" ht="12.75">
      <c r="A22" s="448"/>
      <c r="B22" s="448"/>
      <c r="C22" s="449"/>
      <c r="E22" s="448"/>
      <c r="F22" s="448"/>
      <c r="G22" s="448"/>
      <c r="I22" s="448" t="e">
        <f>Divident_all!#REF!</f>
        <v>#REF!</v>
      </c>
      <c r="J22" s="449">
        <f ca="1">IFERROR(__xludf.DUMMYFUNCTION("Divident_all!L39*GOOGLEFINANCE (""Currency:USDRON"")"),0.283273745421599)</f>
        <v>0.283273745421599</v>
      </c>
      <c r="K22" s="450">
        <v>0.16</v>
      </c>
      <c r="M22" s="448" t="e">
        <f>Divident_all!#REF!</f>
        <v>#REF!</v>
      </c>
      <c r="N22" s="449">
        <f ca="1">IFERROR(__xludf.DUMMYFUNCTION("Divident_all!L46*GOOGLEFINANCE (""Currency:USDRON"")"),1.3726661785146)</f>
        <v>1.3726661785145999</v>
      </c>
      <c r="O22" s="450">
        <v>0.98</v>
      </c>
      <c r="P22" s="52"/>
    </row>
    <row r="23" spans="1:16" ht="12.75">
      <c r="A23" s="448"/>
      <c r="B23" s="448"/>
      <c r="C23" s="449"/>
      <c r="E23" s="448"/>
      <c r="F23" s="448"/>
      <c r="G23" s="448"/>
      <c r="I23" s="448" t="e">
        <f>Divident_all!#REF!</f>
        <v>#REF!</v>
      </c>
      <c r="J23" s="449">
        <f ca="1">IFERROR(__xludf.DUMMYFUNCTION("GOOGLEFINANCE (""Currency:USDRON"")*Divident_all!L13"),1.43457714093095)</f>
        <v>1.43457714093095</v>
      </c>
      <c r="K23" s="450">
        <v>0.54</v>
      </c>
      <c r="M23" s="448" t="e">
        <f>Divident_all!#REF!</f>
        <v>#REF!</v>
      </c>
      <c r="N23" s="449">
        <f ca="1">IFERROR(__xludf.DUMMYFUNCTION("Divident_all!L25*GOOGLEFINANCE (""Currency:GBPRON"")"),2.04109852722982)</f>
        <v>2.0410985272298201</v>
      </c>
      <c r="O23" s="450">
        <v>0.38</v>
      </c>
      <c r="P23" s="52"/>
    </row>
    <row r="24" spans="1:16" ht="12.75">
      <c r="A24" s="448"/>
      <c r="B24" s="448"/>
      <c r="C24" s="449"/>
      <c r="E24" s="448"/>
      <c r="F24" s="448"/>
      <c r="G24" s="448"/>
      <c r="I24" s="448" t="e">
        <f>Divident_all!#REF!</f>
        <v>#REF!</v>
      </c>
      <c r="J24" s="449">
        <f ca="1">IFERROR(__xludf.DUMMYFUNCTION("GOOGLEFINANCE (""Currency:USDRON"")*Divident_all!L32"),1.293194679156)</f>
        <v>1.2931946791560001</v>
      </c>
      <c r="K24" s="450">
        <v>0.19</v>
      </c>
      <c r="M24" s="448" t="e">
        <f>Divident_all!#REF!</f>
        <v>#REF!</v>
      </c>
      <c r="N24" s="449">
        <f ca="1">IFERROR(__xludf.DUMMYFUNCTION("Divident_all!L35*GOOGLEFINANCE (""Currency:USDRON"")"),0.5111457341328)</f>
        <v>0.51114573413279996</v>
      </c>
      <c r="O24" s="450">
        <v>0.08</v>
      </c>
      <c r="P24" s="52"/>
    </row>
    <row r="25" spans="1:16" ht="12.75">
      <c r="A25" s="448"/>
      <c r="B25" s="448"/>
      <c r="C25" s="449"/>
      <c r="E25" s="448"/>
      <c r="F25" s="448"/>
      <c r="G25" s="448"/>
      <c r="I25" s="448" t="e">
        <f>Divident_all!#REF!</f>
        <v>#REF!</v>
      </c>
      <c r="J25" s="449">
        <f ca="1">IFERROR(__xludf.DUMMYFUNCTION("GOOGLEFINANCE (""Currency:USDRON"")*Divident_all!L31"),0.37568547095562)</f>
        <v>0.37568547095561999</v>
      </c>
      <c r="K25" s="450">
        <v>0.63</v>
      </c>
      <c r="M25" s="448" t="e">
        <f>Divident_all!#REF!</f>
        <v>#REF!</v>
      </c>
      <c r="N25" s="449">
        <f ca="1">IFERROR(__xludf.DUMMYFUNCTION("Divident_all!L34*GOOGLEFINANCE (""Currency:USDRON"")"),0.31962005541792)</f>
        <v>0.31962005541791999</v>
      </c>
      <c r="O25" s="450">
        <v>0.04</v>
      </c>
      <c r="P25" s="52"/>
    </row>
    <row r="26" spans="1:16" ht="12.75">
      <c r="A26" s="448"/>
      <c r="B26" s="448"/>
      <c r="C26" s="449"/>
      <c r="E26" s="448"/>
      <c r="F26" s="448"/>
      <c r="G26" s="448"/>
      <c r="I26" s="448"/>
      <c r="J26" s="449"/>
      <c r="K26" s="449"/>
      <c r="M26" s="448" t="e">
        <f>Divident_all!#REF!</f>
        <v>#REF!</v>
      </c>
      <c r="N26" s="449">
        <f ca="1">IFERROR(__xludf.DUMMYFUNCTION("Divident_all!L60*GOOGLEFINANCE (""Currency:USDRON"")"),1.08409296732588)</f>
        <v>1.0840929673258799</v>
      </c>
      <c r="O26" s="450">
        <v>0.19</v>
      </c>
      <c r="P26" s="52"/>
    </row>
    <row r="27" spans="1:16" ht="12.75">
      <c r="A27" s="448"/>
      <c r="B27" s="448"/>
      <c r="C27" s="449"/>
      <c r="E27" s="448"/>
      <c r="F27" s="448"/>
      <c r="G27" s="448"/>
      <c r="I27" s="448"/>
      <c r="J27" s="449"/>
      <c r="K27" s="449"/>
      <c r="M27" s="448" t="e">
        <f>Divident_all!#REF!</f>
        <v>#REF!</v>
      </c>
      <c r="N27" s="449">
        <f ca="1">IFERROR(__xludf.DUMMYFUNCTION("Divident_all!L62*GOOGLEFINANCE (""Currency:USDRON"")"),0.2904320113524)</f>
        <v>0.29043201135239999</v>
      </c>
      <c r="O27" s="450">
        <v>0.04</v>
      </c>
      <c r="P27" s="52"/>
    </row>
    <row r="28" spans="1:16" ht="12.75">
      <c r="A28" s="448"/>
      <c r="B28" s="448"/>
      <c r="C28" s="449"/>
      <c r="E28" s="448"/>
      <c r="F28" s="448"/>
      <c r="G28" s="448"/>
      <c r="I28" s="448"/>
      <c r="J28" s="448"/>
      <c r="K28" s="449"/>
      <c r="M28" s="448" t="e">
        <f>Divident_all!#REF!</f>
        <v>#REF!</v>
      </c>
      <c r="N28" s="449">
        <f ca="1">IFERROR(__xludf.DUMMYFUNCTION("Divident_all!L22*GOOGLEFINANCE (""Currency:CADRON"")"),2.47751285407747)</f>
        <v>2.47751285407747</v>
      </c>
      <c r="O28" s="450">
        <v>0.46</v>
      </c>
      <c r="P28" s="52"/>
    </row>
    <row r="29" spans="1:16" ht="12.75">
      <c r="A29" s="448"/>
      <c r="B29" s="448"/>
      <c r="C29" s="449"/>
      <c r="E29" s="448"/>
      <c r="F29" s="448"/>
      <c r="G29" s="448"/>
      <c r="I29" s="448"/>
      <c r="J29" s="448"/>
      <c r="K29" s="449"/>
      <c r="M29" s="448" t="e">
        <f>Divident_all!#REF!</f>
        <v>#REF!</v>
      </c>
      <c r="N29" s="449">
        <f ca="1">IFERROR(__xludf.DUMMYFUNCTION("Divident_all!L18*GOOGLEFINANCE (""Currency:USDRON"")"),0.493642987853399)</f>
        <v>0.493642987853399</v>
      </c>
      <c r="O29" s="450">
        <v>0.12</v>
      </c>
      <c r="P29" s="52"/>
    </row>
    <row r="30" spans="1:16">
      <c r="A30" s="448"/>
      <c r="B30" s="448"/>
      <c r="C30" s="449"/>
      <c r="D30" s="459" t="s">
        <v>211</v>
      </c>
      <c r="E30" s="448"/>
      <c r="F30" s="448"/>
      <c r="G30" s="448"/>
      <c r="H30" s="459" t="s">
        <v>211</v>
      </c>
      <c r="I30" s="448"/>
      <c r="J30" s="448"/>
      <c r="K30" s="448"/>
      <c r="L30" s="459" t="s">
        <v>211</v>
      </c>
      <c r="M30" s="448" t="e">
        <f>Divident_all!#REF!</f>
        <v>#REF!</v>
      </c>
      <c r="N30" s="449">
        <f ca="1">IFERROR(__xludf.DUMMYFUNCTION("Divident_all!L26*GOOGLEFINANCE (""Currency:USDRON"")"),1.30271922277884)</f>
        <v>1.30271922277884</v>
      </c>
      <c r="O30" s="450">
        <v>1.0900000000000001</v>
      </c>
      <c r="P30" s="459" t="s">
        <v>211</v>
      </c>
    </row>
    <row r="31" spans="1:16">
      <c r="A31" s="448"/>
      <c r="B31" s="448"/>
      <c r="C31" s="449"/>
      <c r="D31" s="557">
        <f>SUM(C2:C33)</f>
        <v>7.4900000000000011</v>
      </c>
      <c r="E31" s="448"/>
      <c r="F31" s="448"/>
      <c r="G31" s="448"/>
      <c r="H31" s="557">
        <f>SUM(G2:G33)</f>
        <v>4.1900000000000004</v>
      </c>
      <c r="I31" s="448"/>
      <c r="J31" s="448"/>
      <c r="K31" s="448"/>
      <c r="L31" s="557">
        <f>SUM(K2:K33)</f>
        <v>7.75</v>
      </c>
      <c r="M31" s="448" t="e">
        <f>Divident_all!#REF!</f>
        <v>#REF!</v>
      </c>
      <c r="N31" s="449">
        <f ca="1">IFERROR(__xludf.DUMMYFUNCTION("Divident_all!L8*GOOGLEFINANCE (""Currency:USDRON"")"),0.09953563826052)</f>
        <v>9.9535638260520004E-2</v>
      </c>
      <c r="O31" s="450">
        <v>0.06</v>
      </c>
      <c r="P31" s="557">
        <f>SUM(O2:O33)</f>
        <v>17.38</v>
      </c>
    </row>
    <row r="32" spans="1:16">
      <c r="A32" s="448"/>
      <c r="B32" s="448"/>
      <c r="C32" s="449"/>
      <c r="D32" s="459" t="s">
        <v>212</v>
      </c>
      <c r="E32" s="448"/>
      <c r="F32" s="448"/>
      <c r="G32" s="448"/>
      <c r="H32" s="459" t="s">
        <v>212</v>
      </c>
      <c r="I32" s="448"/>
      <c r="J32" s="448"/>
      <c r="K32" s="448"/>
      <c r="L32" s="459" t="s">
        <v>212</v>
      </c>
      <c r="M32" s="448" t="e">
        <f>Divident_all!#REF!</f>
        <v>#REF!</v>
      </c>
      <c r="N32" s="449">
        <f ca="1">IFERROR(__xludf.DUMMYFUNCTION("Divident_all!L42*GOOGLEFINANCE (""Currency:USDRON"")"),0.885893912020799)</f>
        <v>0.88589391202079903</v>
      </c>
      <c r="O32" s="450">
        <v>0.54</v>
      </c>
      <c r="P32" s="459" t="s">
        <v>212</v>
      </c>
    </row>
    <row r="33" spans="1:16">
      <c r="A33" s="448"/>
      <c r="B33" s="448"/>
      <c r="C33" s="449"/>
      <c r="D33" s="464">
        <f ca="1">SUM(B4:B33)</f>
        <v>15.208834675585566</v>
      </c>
      <c r="E33" s="448"/>
      <c r="F33" s="448"/>
      <c r="G33" s="448"/>
      <c r="H33" s="464">
        <f ca="1">SUM(F4:F33)</f>
        <v>11.944125273266293</v>
      </c>
      <c r="I33" s="448"/>
      <c r="J33" s="448"/>
      <c r="K33" s="448"/>
      <c r="L33" s="464">
        <f ca="1">SUM(J4:J33)</f>
        <v>22.826719768051117</v>
      </c>
      <c r="M33" s="448" t="e">
        <f>Divident_all!#REF!</f>
        <v>#REF!</v>
      </c>
      <c r="N33" s="449">
        <f ca="1">IFERROR(__xludf.DUMMYFUNCTION("Divident_all!L23*GOOGLEFINANCE (""Currency:USDRON"")"),0.8548707950487)</f>
        <v>0.85487079504870001</v>
      </c>
      <c r="O33" s="450">
        <v>0.1</v>
      </c>
      <c r="P33" s="464">
        <f ca="1">SUM(N4:N33)</f>
        <v>32.789083076678317</v>
      </c>
    </row>
    <row r="36" spans="1:16" ht="12.75">
      <c r="B36" s="107" t="s">
        <v>213</v>
      </c>
      <c r="C36" s="107" t="s">
        <v>214</v>
      </c>
      <c r="D36" s="107" t="s">
        <v>215</v>
      </c>
      <c r="E36" s="107" t="s">
        <v>216</v>
      </c>
      <c r="F36" s="265" t="s">
        <v>182</v>
      </c>
    </row>
    <row r="37" spans="1:16" ht="17.25">
      <c r="A37" s="108" t="s">
        <v>49</v>
      </c>
      <c r="B37" s="110">
        <v>0</v>
      </c>
      <c r="C37" s="110">
        <v>0</v>
      </c>
      <c r="D37" s="466">
        <f>C8</f>
        <v>0.64</v>
      </c>
      <c r="E37" s="466">
        <f>O17</f>
        <v>1.67</v>
      </c>
      <c r="F37" s="110">
        <f t="shared" ref="F37:F98" si="0">SUM(B37:E37)</f>
        <v>2.31</v>
      </c>
    </row>
    <row r="38" spans="1:16" ht="17.25">
      <c r="A38" s="111" t="s">
        <v>51</v>
      </c>
      <c r="B38" s="113">
        <v>0</v>
      </c>
      <c r="C38" s="113">
        <v>0</v>
      </c>
      <c r="D38" s="467">
        <f>C6</f>
        <v>0.37</v>
      </c>
      <c r="E38" s="467">
        <f>O13</f>
        <v>0.45</v>
      </c>
      <c r="F38" s="113">
        <f t="shared" si="0"/>
        <v>0.82000000000000006</v>
      </c>
    </row>
    <row r="39" spans="1:16" ht="17.25">
      <c r="A39" s="115" t="s">
        <v>53</v>
      </c>
      <c r="B39" s="113">
        <v>0</v>
      </c>
      <c r="C39" s="113">
        <v>0</v>
      </c>
      <c r="D39" s="113">
        <v>0</v>
      </c>
      <c r="E39" s="113">
        <v>0</v>
      </c>
      <c r="F39" s="113">
        <f t="shared" si="0"/>
        <v>0</v>
      </c>
    </row>
    <row r="40" spans="1:16" ht="17.25">
      <c r="A40" s="111" t="s">
        <v>55</v>
      </c>
      <c r="B40" s="113">
        <v>0</v>
      </c>
      <c r="C40" s="113">
        <v>0</v>
      </c>
      <c r="D40" s="113">
        <v>0</v>
      </c>
      <c r="E40" s="467">
        <f>O20</f>
        <v>0.3</v>
      </c>
      <c r="F40" s="113">
        <f t="shared" si="0"/>
        <v>0.3</v>
      </c>
    </row>
    <row r="41" spans="1:16" ht="17.25">
      <c r="A41" s="115" t="s">
        <v>56</v>
      </c>
      <c r="B41" s="113">
        <v>0</v>
      </c>
      <c r="C41" s="113">
        <v>0</v>
      </c>
      <c r="D41" s="467">
        <f>C18</f>
        <v>0.15</v>
      </c>
      <c r="E41" s="467">
        <f>O14</f>
        <v>0.53</v>
      </c>
      <c r="F41" s="113">
        <f t="shared" si="0"/>
        <v>0.68</v>
      </c>
    </row>
    <row r="42" spans="1:16" ht="17.25">
      <c r="A42" s="111" t="s">
        <v>57</v>
      </c>
      <c r="B42" s="113">
        <v>0</v>
      </c>
      <c r="C42" s="113">
        <v>0</v>
      </c>
      <c r="D42" s="467">
        <f>C14</f>
        <v>0.03</v>
      </c>
      <c r="E42" s="467">
        <f>O31</f>
        <v>0.06</v>
      </c>
      <c r="F42" s="113">
        <f t="shared" si="0"/>
        <v>0.09</v>
      </c>
    </row>
    <row r="43" spans="1:16" ht="17.25">
      <c r="A43" s="115" t="s">
        <v>58</v>
      </c>
      <c r="B43" s="113">
        <v>0</v>
      </c>
      <c r="C43" s="113">
        <v>0</v>
      </c>
      <c r="D43" s="113">
        <v>0</v>
      </c>
      <c r="E43" s="467">
        <f>G4+O12</f>
        <v>0.85</v>
      </c>
      <c r="F43" s="113">
        <f t="shared" si="0"/>
        <v>0.85</v>
      </c>
    </row>
    <row r="44" spans="1:16" ht="17.25">
      <c r="A44" s="111" t="s">
        <v>59</v>
      </c>
      <c r="B44" s="113">
        <v>0</v>
      </c>
      <c r="C44" s="113">
        <v>0</v>
      </c>
      <c r="D44" s="113">
        <v>0</v>
      </c>
      <c r="E44" s="467">
        <f>G7</f>
        <v>0.67</v>
      </c>
      <c r="F44" s="113">
        <f t="shared" si="0"/>
        <v>0.67</v>
      </c>
    </row>
    <row r="45" spans="1:16" ht="17.25">
      <c r="A45" s="115" t="s">
        <v>60</v>
      </c>
      <c r="B45" s="113">
        <v>0</v>
      </c>
      <c r="C45" s="113">
        <v>0</v>
      </c>
      <c r="D45" s="113">
        <v>0</v>
      </c>
      <c r="E45" s="467">
        <f>K6</f>
        <v>0.36</v>
      </c>
      <c r="F45" s="113">
        <f t="shared" si="0"/>
        <v>0.36</v>
      </c>
    </row>
    <row r="46" spans="1:16" ht="17.25">
      <c r="A46" s="111" t="s">
        <v>62</v>
      </c>
      <c r="B46" s="113">
        <v>0</v>
      </c>
      <c r="C46" s="113">
        <v>0</v>
      </c>
      <c r="D46" s="113">
        <v>0</v>
      </c>
      <c r="E46" s="467">
        <f>G12</f>
        <v>0.37</v>
      </c>
      <c r="F46" s="113">
        <f t="shared" si="0"/>
        <v>0.37</v>
      </c>
    </row>
    <row r="47" spans="1:16" ht="17.25">
      <c r="A47" s="115" t="s">
        <v>63</v>
      </c>
      <c r="B47" s="113">
        <v>0</v>
      </c>
      <c r="C47" s="113">
        <v>0</v>
      </c>
      <c r="D47" s="113">
        <v>0</v>
      </c>
      <c r="E47" s="467">
        <f>K23</f>
        <v>0.54</v>
      </c>
      <c r="F47" s="113">
        <f t="shared" si="0"/>
        <v>0.54</v>
      </c>
    </row>
    <row r="48" spans="1:16" ht="17.25">
      <c r="A48" s="111" t="s">
        <v>64</v>
      </c>
      <c r="B48" s="113">
        <v>0</v>
      </c>
      <c r="C48" s="113">
        <v>0</v>
      </c>
      <c r="D48" s="467">
        <f>C11</f>
        <v>0.23</v>
      </c>
      <c r="E48" s="113">
        <v>0</v>
      </c>
      <c r="F48" s="113">
        <f t="shared" si="0"/>
        <v>0.23</v>
      </c>
    </row>
    <row r="49" spans="1:6" ht="17.25">
      <c r="A49" s="115" t="s">
        <v>65</v>
      </c>
      <c r="B49" s="113">
        <v>0</v>
      </c>
      <c r="C49" s="113">
        <v>0</v>
      </c>
      <c r="D49" s="113">
        <v>0</v>
      </c>
      <c r="E49" s="467">
        <f>K11</f>
        <v>0.2</v>
      </c>
      <c r="F49" s="113">
        <f t="shared" si="0"/>
        <v>0.2</v>
      </c>
    </row>
    <row r="50" spans="1:6" ht="17.25">
      <c r="A50" s="111" t="s">
        <v>66</v>
      </c>
      <c r="B50" s="113">
        <v>0</v>
      </c>
      <c r="C50" s="113">
        <v>0</v>
      </c>
      <c r="D50" s="113">
        <v>0</v>
      </c>
      <c r="E50" s="467">
        <f>K15</f>
        <v>0.27</v>
      </c>
      <c r="F50" s="113">
        <f t="shared" si="0"/>
        <v>0.27</v>
      </c>
    </row>
    <row r="51" spans="1:6" ht="17.25">
      <c r="A51" s="115" t="s">
        <v>67</v>
      </c>
      <c r="B51" s="113">
        <v>0</v>
      </c>
      <c r="C51" s="113">
        <v>0</v>
      </c>
      <c r="D51" s="113">
        <v>0</v>
      </c>
      <c r="E51" s="113">
        <v>0</v>
      </c>
      <c r="F51" s="113">
        <f t="shared" si="0"/>
        <v>0</v>
      </c>
    </row>
    <row r="52" spans="1:6" ht="17.25">
      <c r="A52" s="111" t="s">
        <v>68</v>
      </c>
      <c r="B52" s="113">
        <v>0</v>
      </c>
      <c r="C52" s="113">
        <v>0</v>
      </c>
      <c r="D52" s="113">
        <v>0</v>
      </c>
      <c r="E52" s="467">
        <f>O29</f>
        <v>0.12</v>
      </c>
      <c r="F52" s="113">
        <f t="shared" si="0"/>
        <v>0.12</v>
      </c>
    </row>
    <row r="53" spans="1:6" ht="17.25">
      <c r="A53" s="115" t="s">
        <v>69</v>
      </c>
      <c r="B53" s="113">
        <v>0</v>
      </c>
      <c r="C53" s="113">
        <v>0</v>
      </c>
      <c r="D53" s="113">
        <v>0</v>
      </c>
      <c r="E53" s="113">
        <v>0</v>
      </c>
      <c r="F53" s="113">
        <f t="shared" si="0"/>
        <v>0</v>
      </c>
    </row>
    <row r="54" spans="1:6" ht="17.25">
      <c r="A54" s="111" t="s">
        <v>70</v>
      </c>
      <c r="B54" s="113">
        <v>0</v>
      </c>
      <c r="C54" s="113">
        <v>0</v>
      </c>
      <c r="D54" s="467">
        <f>C10</f>
        <v>1.42</v>
      </c>
      <c r="E54" s="467">
        <f>O19</f>
        <v>1.73</v>
      </c>
      <c r="F54" s="113">
        <f t="shared" si="0"/>
        <v>3.15</v>
      </c>
    </row>
    <row r="55" spans="1:6" ht="17.25">
      <c r="A55" s="115" t="s">
        <v>71</v>
      </c>
      <c r="B55" s="113">
        <v>0</v>
      </c>
      <c r="C55" s="113">
        <v>0</v>
      </c>
      <c r="D55" s="113">
        <v>0</v>
      </c>
      <c r="E55" s="467">
        <f>K9</f>
        <v>0.35</v>
      </c>
      <c r="F55" s="113">
        <f t="shared" si="0"/>
        <v>0.35</v>
      </c>
    </row>
    <row r="56" spans="1:6" ht="17.25">
      <c r="A56" s="111" t="s">
        <v>72</v>
      </c>
      <c r="B56" s="113">
        <v>0</v>
      </c>
      <c r="C56" s="113">
        <v>0</v>
      </c>
      <c r="D56" s="113">
        <v>0</v>
      </c>
      <c r="E56" s="467">
        <f>O28</f>
        <v>0.46</v>
      </c>
      <c r="F56" s="113">
        <f t="shared" si="0"/>
        <v>0.46</v>
      </c>
    </row>
    <row r="57" spans="1:6" ht="17.25">
      <c r="A57" s="115" t="s">
        <v>73</v>
      </c>
      <c r="B57" s="113">
        <v>0</v>
      </c>
      <c r="C57" s="113">
        <v>0</v>
      </c>
      <c r="D57" s="113">
        <v>0</v>
      </c>
      <c r="E57" s="467">
        <f>O33</f>
        <v>0.1</v>
      </c>
      <c r="F57" s="113">
        <f t="shared" si="0"/>
        <v>0.1</v>
      </c>
    </row>
    <row r="58" spans="1:6" ht="17.25">
      <c r="A58" s="111" t="s">
        <v>74</v>
      </c>
      <c r="B58" s="113">
        <v>0</v>
      </c>
      <c r="C58" s="113">
        <v>0</v>
      </c>
      <c r="D58" s="113">
        <v>0</v>
      </c>
      <c r="E58" s="467">
        <f>O21</f>
        <v>0.2</v>
      </c>
      <c r="F58" s="113">
        <f t="shared" si="0"/>
        <v>0.2</v>
      </c>
    </row>
    <row r="59" spans="1:6" ht="17.25">
      <c r="A59" s="115" t="s">
        <v>75</v>
      </c>
      <c r="B59" s="113">
        <v>0</v>
      </c>
      <c r="C59" s="113">
        <v>0</v>
      </c>
      <c r="D59" s="113">
        <v>0</v>
      </c>
      <c r="E59" s="467">
        <f>O23</f>
        <v>0.38</v>
      </c>
      <c r="F59" s="113">
        <f t="shared" si="0"/>
        <v>0.38</v>
      </c>
    </row>
    <row r="60" spans="1:6" ht="17.25">
      <c r="A60" s="111" t="s">
        <v>76</v>
      </c>
      <c r="B60" s="113">
        <v>0</v>
      </c>
      <c r="C60" s="113">
        <v>0</v>
      </c>
      <c r="D60" s="467">
        <f>C9</f>
        <v>0.99</v>
      </c>
      <c r="E60" s="467">
        <f>O30</f>
        <v>1.0900000000000001</v>
      </c>
      <c r="F60" s="113">
        <f t="shared" si="0"/>
        <v>2.08</v>
      </c>
    </row>
    <row r="61" spans="1:6" ht="17.25">
      <c r="A61" s="115" t="s">
        <v>77</v>
      </c>
      <c r="B61" s="113">
        <v>0</v>
      </c>
      <c r="C61" s="113">
        <v>0</v>
      </c>
      <c r="D61" s="113">
        <v>0</v>
      </c>
      <c r="E61" s="113">
        <v>0</v>
      </c>
      <c r="F61" s="113">
        <f t="shared" si="0"/>
        <v>0</v>
      </c>
    </row>
    <row r="62" spans="1:6" ht="17.25">
      <c r="A62" s="111" t="s">
        <v>78</v>
      </c>
      <c r="B62" s="113">
        <v>0</v>
      </c>
      <c r="C62" s="113">
        <v>0</v>
      </c>
      <c r="D62" s="113">
        <v>0</v>
      </c>
      <c r="E62" s="467">
        <f>G11</f>
        <v>0.24</v>
      </c>
      <c r="F62" s="113">
        <f t="shared" si="0"/>
        <v>0.24</v>
      </c>
    </row>
    <row r="63" spans="1:6" ht="17.25">
      <c r="A63" s="115" t="s">
        <v>79</v>
      </c>
      <c r="B63" s="113">
        <v>0</v>
      </c>
      <c r="C63" s="113">
        <v>0</v>
      </c>
      <c r="D63" s="113">
        <v>0</v>
      </c>
      <c r="E63" s="467">
        <f>K13</f>
        <v>0.51</v>
      </c>
      <c r="F63" s="113">
        <f t="shared" si="0"/>
        <v>0.51</v>
      </c>
    </row>
    <row r="64" spans="1:6" ht="17.25">
      <c r="A64" s="111" t="s">
        <v>80</v>
      </c>
      <c r="B64" s="113">
        <v>0</v>
      </c>
      <c r="C64" s="113">
        <v>0</v>
      </c>
      <c r="D64" s="113">
        <v>0</v>
      </c>
      <c r="E64" s="113">
        <v>0</v>
      </c>
      <c r="F64" s="113">
        <f t="shared" si="0"/>
        <v>0</v>
      </c>
    </row>
    <row r="65" spans="1:6" ht="17.25">
      <c r="A65" s="115" t="s">
        <v>81</v>
      </c>
      <c r="B65" s="113">
        <v>0</v>
      </c>
      <c r="C65" s="113">
        <v>0</v>
      </c>
      <c r="D65" s="113">
        <v>0</v>
      </c>
      <c r="E65" s="467">
        <f>G13+K25</f>
        <v>0.76</v>
      </c>
      <c r="F65" s="113">
        <f t="shared" si="0"/>
        <v>0.76</v>
      </c>
    </row>
    <row r="66" spans="1:6" ht="17.25">
      <c r="A66" s="111" t="s">
        <v>82</v>
      </c>
      <c r="B66" s="113">
        <v>0</v>
      </c>
      <c r="C66" s="113">
        <v>0</v>
      </c>
      <c r="D66" s="113">
        <v>0</v>
      </c>
      <c r="E66" s="467">
        <f>K24</f>
        <v>0.19</v>
      </c>
      <c r="F66" s="113">
        <f t="shared" si="0"/>
        <v>0.19</v>
      </c>
    </row>
    <row r="67" spans="1:6" ht="17.25">
      <c r="A67" s="111" t="s">
        <v>83</v>
      </c>
      <c r="B67" s="113">
        <v>0</v>
      </c>
      <c r="C67" s="113">
        <v>0</v>
      </c>
      <c r="D67" s="467">
        <f>C5</f>
        <v>0.11</v>
      </c>
      <c r="E67" s="467">
        <f>O10</f>
        <v>0.14000000000000001</v>
      </c>
      <c r="F67" s="113">
        <f t="shared" si="0"/>
        <v>0.25</v>
      </c>
    </row>
    <row r="68" spans="1:6" ht="17.25">
      <c r="A68" s="115" t="s">
        <v>84</v>
      </c>
      <c r="B68" s="113">
        <v>0</v>
      </c>
      <c r="C68" s="113">
        <v>0</v>
      </c>
      <c r="D68" s="113">
        <v>0</v>
      </c>
      <c r="E68" s="467">
        <f>O25</f>
        <v>0.04</v>
      </c>
      <c r="F68" s="113">
        <f t="shared" si="0"/>
        <v>0.04</v>
      </c>
    </row>
    <row r="69" spans="1:6" ht="17.25">
      <c r="A69" s="111" t="s">
        <v>85</v>
      </c>
      <c r="B69" s="113">
        <v>0</v>
      </c>
      <c r="C69" s="113">
        <v>0</v>
      </c>
      <c r="D69" s="113">
        <v>0</v>
      </c>
      <c r="E69" s="467">
        <f>O24</f>
        <v>0.08</v>
      </c>
      <c r="F69" s="113">
        <f t="shared" si="0"/>
        <v>0.08</v>
      </c>
    </row>
    <row r="70" spans="1:6" ht="17.25">
      <c r="A70" s="111" t="s">
        <v>86</v>
      </c>
      <c r="B70" s="113">
        <v>0</v>
      </c>
      <c r="C70" s="113">
        <v>0</v>
      </c>
      <c r="D70" s="113">
        <v>0</v>
      </c>
      <c r="E70" s="467">
        <f>O9</f>
        <v>0.08</v>
      </c>
      <c r="F70" s="113">
        <f t="shared" si="0"/>
        <v>0.08</v>
      </c>
    </row>
    <row r="71" spans="1:6" ht="17.25">
      <c r="A71" s="115" t="s">
        <v>87</v>
      </c>
      <c r="B71" s="113">
        <v>0</v>
      </c>
      <c r="C71" s="113">
        <v>0</v>
      </c>
      <c r="D71" s="113">
        <v>0</v>
      </c>
      <c r="E71" s="467">
        <f>K8</f>
        <v>0.17</v>
      </c>
      <c r="F71" s="113">
        <f t="shared" si="0"/>
        <v>0.17</v>
      </c>
    </row>
    <row r="72" spans="1:6" ht="17.25">
      <c r="A72" s="111" t="s">
        <v>88</v>
      </c>
      <c r="B72" s="113">
        <v>0</v>
      </c>
      <c r="C72" s="113">
        <v>0</v>
      </c>
      <c r="D72" s="113">
        <v>0</v>
      </c>
      <c r="E72" s="467">
        <f>K19</f>
        <v>0.09</v>
      </c>
      <c r="F72" s="113">
        <f t="shared" si="0"/>
        <v>0.09</v>
      </c>
    </row>
    <row r="73" spans="1:6" ht="17.25">
      <c r="A73" s="115" t="s">
        <v>89</v>
      </c>
      <c r="B73" s="113">
        <v>0</v>
      </c>
      <c r="C73" s="113">
        <v>0</v>
      </c>
      <c r="D73" s="113">
        <v>0</v>
      </c>
      <c r="E73" s="467">
        <f>K22</f>
        <v>0.16</v>
      </c>
      <c r="F73" s="113">
        <f t="shared" si="0"/>
        <v>0.16</v>
      </c>
    </row>
    <row r="74" spans="1:6" ht="17.25">
      <c r="A74" s="111" t="s">
        <v>90</v>
      </c>
      <c r="B74" s="113">
        <v>0</v>
      </c>
      <c r="C74" s="113">
        <v>0</v>
      </c>
      <c r="D74" s="467">
        <f>C12</f>
        <v>0.05</v>
      </c>
      <c r="E74" s="467">
        <f>G9+K12+O11</f>
        <v>1.1400000000000001</v>
      </c>
      <c r="F74" s="113">
        <f t="shared" si="0"/>
        <v>1.1900000000000002</v>
      </c>
    </row>
    <row r="75" spans="1:6" ht="17.25">
      <c r="A75" s="115" t="s">
        <v>91</v>
      </c>
      <c r="B75" s="113">
        <v>0</v>
      </c>
      <c r="C75" s="113">
        <v>0</v>
      </c>
      <c r="D75" s="113">
        <v>0</v>
      </c>
      <c r="E75" s="113">
        <v>0</v>
      </c>
      <c r="F75" s="113">
        <f t="shared" si="0"/>
        <v>0</v>
      </c>
    </row>
    <row r="76" spans="1:6" ht="17.25">
      <c r="A76" s="111" t="s">
        <v>92</v>
      </c>
      <c r="B76" s="113">
        <v>0</v>
      </c>
      <c r="C76" s="113">
        <v>0</v>
      </c>
      <c r="D76" s="467">
        <f>C15</f>
        <v>0.26</v>
      </c>
      <c r="E76" s="467">
        <f>O32</f>
        <v>0.54</v>
      </c>
      <c r="F76" s="113">
        <f t="shared" si="0"/>
        <v>0.8</v>
      </c>
    </row>
    <row r="77" spans="1:6" ht="17.25">
      <c r="A77" s="115" t="s">
        <v>93</v>
      </c>
      <c r="B77" s="113">
        <v>0</v>
      </c>
      <c r="C77" s="113">
        <v>0</v>
      </c>
      <c r="D77" s="113">
        <v>0</v>
      </c>
      <c r="E77" s="467">
        <f>G6</f>
        <v>0.34</v>
      </c>
      <c r="F77" s="113">
        <f t="shared" si="0"/>
        <v>0.34</v>
      </c>
    </row>
    <row r="78" spans="1:6" ht="17.25">
      <c r="A78" s="111" t="s">
        <v>94</v>
      </c>
      <c r="B78" s="113">
        <v>0</v>
      </c>
      <c r="C78" s="113">
        <v>0</v>
      </c>
      <c r="D78" s="113">
        <v>0</v>
      </c>
      <c r="E78" s="467">
        <f>G10+K14+O15</f>
        <v>0.64999999999999991</v>
      </c>
      <c r="F78" s="113">
        <f t="shared" si="0"/>
        <v>0.64999999999999991</v>
      </c>
    </row>
    <row r="79" spans="1:6" ht="17.25">
      <c r="A79" s="115" t="s">
        <v>95</v>
      </c>
      <c r="B79" s="113">
        <v>0</v>
      </c>
      <c r="C79" s="113">
        <v>0</v>
      </c>
      <c r="D79" s="113">
        <v>0</v>
      </c>
      <c r="E79" s="467">
        <f>K20</f>
        <v>0.34</v>
      </c>
      <c r="F79" s="113">
        <f t="shared" si="0"/>
        <v>0.34</v>
      </c>
    </row>
    <row r="80" spans="1:6" ht="17.25">
      <c r="A80" s="111" t="s">
        <v>96</v>
      </c>
      <c r="B80" s="113">
        <v>0</v>
      </c>
      <c r="C80" s="113">
        <v>0</v>
      </c>
      <c r="D80" s="467">
        <f>C17</f>
        <v>0.32</v>
      </c>
      <c r="E80" s="467">
        <f>O22</f>
        <v>0.98</v>
      </c>
      <c r="F80" s="113">
        <f t="shared" si="0"/>
        <v>1.3</v>
      </c>
    </row>
    <row r="81" spans="1:6" ht="17.25">
      <c r="A81" s="115" t="s">
        <v>97</v>
      </c>
      <c r="B81" s="113">
        <v>0</v>
      </c>
      <c r="C81" s="113">
        <v>0</v>
      </c>
      <c r="D81" s="113">
        <v>0</v>
      </c>
      <c r="E81" s="467">
        <f>G8</f>
        <v>1.56</v>
      </c>
      <c r="F81" s="113">
        <f t="shared" si="0"/>
        <v>1.56</v>
      </c>
    </row>
    <row r="82" spans="1:6" ht="17.25">
      <c r="A82" s="111" t="s">
        <v>98</v>
      </c>
      <c r="B82" s="113">
        <v>0</v>
      </c>
      <c r="C82" s="113">
        <v>0</v>
      </c>
      <c r="D82" s="113">
        <v>0</v>
      </c>
      <c r="E82" s="467">
        <f>K16</f>
        <v>1.47</v>
      </c>
      <c r="F82" s="113">
        <f t="shared" si="0"/>
        <v>1.47</v>
      </c>
    </row>
    <row r="83" spans="1:6" ht="17.25">
      <c r="A83" s="115" t="s">
        <v>99</v>
      </c>
      <c r="B83" s="113">
        <v>0</v>
      </c>
      <c r="C83" s="113">
        <v>0</v>
      </c>
      <c r="D83" s="467">
        <f>C7</f>
        <v>0.13</v>
      </c>
      <c r="E83" s="467">
        <f>O16</f>
        <v>0.2</v>
      </c>
      <c r="F83" s="113">
        <f t="shared" si="0"/>
        <v>0.33</v>
      </c>
    </row>
    <row r="84" spans="1:6" ht="17.25">
      <c r="A84" s="111" t="s">
        <v>100</v>
      </c>
      <c r="B84" s="113">
        <v>0</v>
      </c>
      <c r="C84" s="113">
        <v>0</v>
      </c>
      <c r="D84" s="113">
        <v>0</v>
      </c>
      <c r="E84" s="467">
        <f>G5</f>
        <v>0.16</v>
      </c>
      <c r="F84" s="113">
        <f t="shared" si="0"/>
        <v>0.16</v>
      </c>
    </row>
    <row r="85" spans="1:6" ht="17.25">
      <c r="A85" s="115" t="s">
        <v>101</v>
      </c>
      <c r="B85" s="113">
        <v>0</v>
      </c>
      <c r="C85" s="113">
        <v>0</v>
      </c>
      <c r="D85" s="113">
        <v>0</v>
      </c>
      <c r="E85" s="467">
        <f>O7</f>
        <v>0.13</v>
      </c>
      <c r="F85" s="113">
        <f t="shared" si="0"/>
        <v>0.13</v>
      </c>
    </row>
    <row r="86" spans="1:6" ht="17.25">
      <c r="A86" s="111" t="s">
        <v>102</v>
      </c>
      <c r="B86" s="113">
        <v>0</v>
      </c>
      <c r="C86" s="113">
        <v>0</v>
      </c>
      <c r="D86" s="113">
        <v>0</v>
      </c>
      <c r="E86" s="467">
        <f>K7</f>
        <v>0.02</v>
      </c>
      <c r="F86" s="113">
        <f t="shared" si="0"/>
        <v>0.02</v>
      </c>
    </row>
    <row r="87" spans="1:6" ht="17.25">
      <c r="A87" s="115" t="s">
        <v>103</v>
      </c>
      <c r="B87" s="113">
        <v>0</v>
      </c>
      <c r="C87" s="113">
        <v>0</v>
      </c>
      <c r="D87" s="113">
        <v>0</v>
      </c>
      <c r="E87" s="467">
        <f>O8</f>
        <v>0.21</v>
      </c>
      <c r="F87" s="113">
        <f t="shared" si="0"/>
        <v>0.21</v>
      </c>
    </row>
    <row r="88" spans="1:6" ht="17.25">
      <c r="A88" s="111" t="s">
        <v>104</v>
      </c>
      <c r="B88" s="113">
        <v>0</v>
      </c>
      <c r="C88" s="113">
        <v>0</v>
      </c>
      <c r="D88" s="113">
        <v>0</v>
      </c>
      <c r="E88" s="467">
        <f>O5</f>
        <v>0.16</v>
      </c>
      <c r="F88" s="113">
        <f t="shared" si="0"/>
        <v>0.16</v>
      </c>
    </row>
    <row r="89" spans="1:6" ht="17.25">
      <c r="A89" s="115" t="s">
        <v>105</v>
      </c>
      <c r="B89" s="113">
        <v>0</v>
      </c>
      <c r="C89" s="113">
        <v>0</v>
      </c>
      <c r="D89" s="113">
        <v>0</v>
      </c>
      <c r="E89" s="467">
        <f>O4</f>
        <v>0.22</v>
      </c>
      <c r="F89" s="113">
        <f t="shared" si="0"/>
        <v>0.22</v>
      </c>
    </row>
    <row r="90" spans="1:6" ht="17.25">
      <c r="A90" s="111" t="s">
        <v>106</v>
      </c>
      <c r="B90" s="113">
        <v>0</v>
      </c>
      <c r="C90" s="113">
        <v>0</v>
      </c>
      <c r="D90" s="113">
        <v>0</v>
      </c>
      <c r="E90" s="467">
        <f>K10</f>
        <v>0.33</v>
      </c>
      <c r="F90" s="113">
        <f t="shared" si="0"/>
        <v>0.33</v>
      </c>
    </row>
    <row r="91" spans="1:6" ht="17.25">
      <c r="A91" s="115" t="s">
        <v>107</v>
      </c>
      <c r="B91" s="113">
        <v>0</v>
      </c>
      <c r="C91" s="113">
        <v>0</v>
      </c>
      <c r="D91" s="113">
        <v>0</v>
      </c>
      <c r="E91" s="467">
        <f>K5</f>
        <v>0.53</v>
      </c>
      <c r="F91" s="113">
        <f t="shared" si="0"/>
        <v>0.53</v>
      </c>
    </row>
    <row r="92" spans="1:6" ht="17.25">
      <c r="A92" s="111" t="s">
        <v>108</v>
      </c>
      <c r="B92" s="113">
        <v>0</v>
      </c>
      <c r="C92" s="113">
        <v>0</v>
      </c>
      <c r="D92" s="113">
        <v>0</v>
      </c>
      <c r="E92" s="467">
        <f>K4</f>
        <v>0.39</v>
      </c>
      <c r="F92" s="113">
        <f t="shared" si="0"/>
        <v>0.39</v>
      </c>
    </row>
    <row r="93" spans="1:6" ht="17.25">
      <c r="A93" s="115" t="s">
        <v>109</v>
      </c>
      <c r="B93" s="113">
        <v>0</v>
      </c>
      <c r="C93" s="113">
        <v>0</v>
      </c>
      <c r="D93" s="113">
        <v>0</v>
      </c>
      <c r="E93" s="467">
        <f>O6</f>
        <v>0.18</v>
      </c>
      <c r="F93" s="113">
        <f t="shared" si="0"/>
        <v>0.18</v>
      </c>
    </row>
    <row r="94" spans="1:6" ht="17.25">
      <c r="A94" s="111" t="s">
        <v>110</v>
      </c>
      <c r="B94" s="113">
        <v>0</v>
      </c>
      <c r="C94" s="113">
        <v>0</v>
      </c>
      <c r="D94" s="113">
        <v>0</v>
      </c>
      <c r="E94" s="467">
        <f>O26</f>
        <v>0.19</v>
      </c>
      <c r="F94" s="113">
        <f t="shared" si="0"/>
        <v>0.19</v>
      </c>
    </row>
    <row r="95" spans="1:6" ht="17.25">
      <c r="A95" s="115" t="s">
        <v>111</v>
      </c>
      <c r="B95" s="113">
        <v>0</v>
      </c>
      <c r="C95" s="113">
        <v>0</v>
      </c>
      <c r="D95" s="113">
        <v>0</v>
      </c>
      <c r="E95" s="113">
        <v>0</v>
      </c>
      <c r="F95" s="113">
        <f t="shared" si="0"/>
        <v>0</v>
      </c>
    </row>
    <row r="96" spans="1:6" ht="17.25">
      <c r="A96" s="111" t="s">
        <v>112</v>
      </c>
      <c r="B96" s="113">
        <v>0</v>
      </c>
      <c r="C96" s="113">
        <v>0</v>
      </c>
      <c r="D96" s="113">
        <v>0</v>
      </c>
      <c r="E96" s="467">
        <f>O27</f>
        <v>0.04</v>
      </c>
      <c r="F96" s="113">
        <f t="shared" si="0"/>
        <v>0.04</v>
      </c>
    </row>
    <row r="97" spans="1:6" ht="17.25">
      <c r="A97" s="115" t="s">
        <v>113</v>
      </c>
      <c r="B97" s="113">
        <v>0</v>
      </c>
      <c r="C97" s="113">
        <v>0</v>
      </c>
      <c r="D97" s="113">
        <v>0</v>
      </c>
      <c r="E97" s="467">
        <f>K21</f>
        <v>0.18</v>
      </c>
      <c r="F97" s="113">
        <f t="shared" si="0"/>
        <v>0.18</v>
      </c>
    </row>
    <row r="98" spans="1:6" ht="17.25">
      <c r="A98" s="116" t="s">
        <v>114</v>
      </c>
      <c r="B98" s="118">
        <v>0</v>
      </c>
      <c r="C98" s="118">
        <v>0</v>
      </c>
      <c r="D98" s="118">
        <v>0</v>
      </c>
      <c r="E98" s="468">
        <f>K18</f>
        <v>0.42</v>
      </c>
      <c r="F98" s="118">
        <f t="shared" si="0"/>
        <v>0.42</v>
      </c>
    </row>
    <row r="1007" spans="2:3" ht="12.75">
      <c r="B1007" s="558"/>
      <c r="C1007" s="558"/>
    </row>
  </sheetData>
  <conditionalFormatting sqref="B37:F98">
    <cfRule type="cellIs" dxfId="1" priority="1" operator="greaterThan">
      <formula>0</formula>
    </cfRule>
  </conditionalFormatting>
  <conditionalFormatting sqref="B37:F98">
    <cfRule type="cellIs" dxfId="0" priority="2" operator="less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4"/>
  <sheetViews>
    <sheetView workbookViewId="0">
      <selection activeCell="C27" sqref="C27"/>
    </sheetView>
  </sheetViews>
  <sheetFormatPr defaultColWidth="12.5703125" defaultRowHeight="15.75" customHeight="1"/>
  <cols>
    <col min="1" max="1" width="26.28515625" customWidth="1"/>
    <col min="8" max="8" width="36" customWidth="1"/>
  </cols>
  <sheetData>
    <row r="1" spans="1:26">
      <c r="A1" s="48" t="s">
        <v>40</v>
      </c>
      <c r="B1" s="48" t="s">
        <v>41</v>
      </c>
      <c r="C1" s="48" t="s">
        <v>42</v>
      </c>
      <c r="D1" s="48" t="s">
        <v>43</v>
      </c>
      <c r="E1" s="48" t="s">
        <v>44</v>
      </c>
      <c r="F1" s="48" t="s">
        <v>45</v>
      </c>
      <c r="G1" s="48" t="s">
        <v>46</v>
      </c>
      <c r="H1" s="48" t="s">
        <v>47</v>
      </c>
      <c r="I1" s="49">
        <v>7</v>
      </c>
    </row>
    <row r="2" spans="1:26">
      <c r="A2" s="50"/>
      <c r="B2" s="51"/>
      <c r="C2" s="2"/>
      <c r="D2" s="2"/>
      <c r="E2" s="36"/>
      <c r="F2" s="36"/>
      <c r="G2" s="52"/>
      <c r="H2" s="48" t="s">
        <v>48</v>
      </c>
      <c r="I2" s="49">
        <v>1</v>
      </c>
    </row>
    <row r="3" spans="1:26">
      <c r="A3" s="53" t="s">
        <v>49</v>
      </c>
      <c r="B3" s="54">
        <f ca="1">IFERROR(__xludf.DUMMYFUNCTION("GOOGLEFINANCE(A3)"),24.84)</f>
        <v>24.84</v>
      </c>
      <c r="C3" s="55">
        <f ca="1">IFERROR(__xludf.DUMMYFUNCTION("GOOGLEFINANCE(A3,""eps"")"),2.24)</f>
        <v>2.2400000000000002</v>
      </c>
      <c r="D3" s="55">
        <v>34.700000000000003</v>
      </c>
      <c r="E3" s="56">
        <f ca="1">(C3*(I1+(D3*I2))*I3)/I4</f>
        <v>92.358471910112385</v>
      </c>
      <c r="F3" s="57">
        <f t="shared" ref="F3:F64" ca="1" si="0">(E3/B3)</f>
        <v>3.7181349400206276</v>
      </c>
      <c r="G3" s="58" t="str">
        <f ca="1">IF(F3&gt;I5,"Buy","Sell")</f>
        <v>Buy</v>
      </c>
      <c r="H3" s="59" t="s">
        <v>50</v>
      </c>
      <c r="I3" s="49">
        <v>4.4000000000000004</v>
      </c>
    </row>
    <row r="4" spans="1:26">
      <c r="A4" s="60" t="s">
        <v>51</v>
      </c>
      <c r="B4" s="61">
        <f ca="1">IFERROR(__xludf.DUMMYFUNCTION("GOOGLEFINANCE(A4)"),296.6)</f>
        <v>296.60000000000002</v>
      </c>
      <c r="C4" s="2">
        <f ca="1">IFERROR(__xludf.DUMMYFUNCTION("GOOGLEFINANCE(A4,""eps"")"),9.32)</f>
        <v>9.32</v>
      </c>
      <c r="D4" s="2">
        <v>7.3</v>
      </c>
      <c r="E4" s="56">
        <f ca="1">(C4*(I1+(D4*I2))*I3)/I4</f>
        <v>131.77851685393262</v>
      </c>
      <c r="F4" s="57">
        <f t="shared" ca="1" si="0"/>
        <v>0.44429708986491101</v>
      </c>
      <c r="G4" s="62" t="str">
        <f ca="1">IF(F4&gt;I5,"Buy","Sell")</f>
        <v>Sell</v>
      </c>
      <c r="H4" s="59" t="s">
        <v>52</v>
      </c>
      <c r="I4" s="49">
        <v>4.45</v>
      </c>
    </row>
    <row r="5" spans="1:26">
      <c r="A5" s="60" t="s">
        <v>53</v>
      </c>
      <c r="B5" s="61">
        <f ca="1">IFERROR(__xludf.DUMMYFUNCTION("GOOGLEFINANCE(A5)"),173.73)</f>
        <v>173.73</v>
      </c>
      <c r="C5" s="2">
        <f ca="1">IFERROR(__xludf.DUMMYFUNCTION("GOOGLEFINANCE(A5,""eps"")"),8.73)</f>
        <v>8.73</v>
      </c>
      <c r="D5" s="2">
        <v>4.5999999999999996</v>
      </c>
      <c r="E5" s="56">
        <f ca="1">(C5*(I1+(D5*I2))*I3)/I4</f>
        <v>100.13015730337078</v>
      </c>
      <c r="F5" s="57">
        <f t="shared" ca="1" si="0"/>
        <v>0.57635501815098589</v>
      </c>
      <c r="G5" s="62" t="str">
        <f ca="1">IF(F5&gt;I5,"Buy","Sell")</f>
        <v>Sell</v>
      </c>
      <c r="H5" s="59" t="s">
        <v>54</v>
      </c>
      <c r="I5" s="63">
        <v>0.8</v>
      </c>
    </row>
    <row r="6" spans="1:26">
      <c r="A6" s="60" t="s">
        <v>55</v>
      </c>
      <c r="B6" s="64">
        <f ca="1">IFERROR(__xludf.DUMMYFUNCTION("GOOGLEFINANCE(""EPA:MC"")"),876.9)</f>
        <v>876.9</v>
      </c>
      <c r="C6" s="2">
        <f ca="1">IFERROR(__xludf.DUMMYFUNCTION("GOOGLEFINANCE(""EPA:MC"",""eps"")"),28.03)</f>
        <v>28.03</v>
      </c>
      <c r="D6" s="2">
        <v>11.37</v>
      </c>
      <c r="E6" s="65">
        <f ca="1">(C6*(I1+(D6*I2))*I3)/I4</f>
        <v>509.12558202247186</v>
      </c>
      <c r="F6" s="57">
        <f t="shared" ca="1" si="0"/>
        <v>0.58059708293131695</v>
      </c>
      <c r="G6" s="62" t="str">
        <f ca="1">IF(F6&gt;I5,"Buy","Sell")</f>
        <v>Sell</v>
      </c>
    </row>
    <row r="7" spans="1:26">
      <c r="A7" s="66" t="s">
        <v>56</v>
      </c>
      <c r="B7" s="67">
        <f ca="1">IFERROR(__xludf.DUMMYFUNCTION("GOOGLEFINANCE(A7)"),10.11)</f>
        <v>10.11</v>
      </c>
      <c r="C7" s="2">
        <f ca="1">IFERROR(__xludf.DUMMYFUNCTION("GOOGLEFINANCE(A7,""eps"")"),-0.33)</f>
        <v>-0.33</v>
      </c>
      <c r="D7" s="2">
        <v>-5.54</v>
      </c>
      <c r="E7" s="56">
        <f ca="1">(C7*(I1+(D7*I2))*I3)/I4</f>
        <v>-0.47638651685393257</v>
      </c>
      <c r="F7" s="57">
        <f t="shared" ca="1" si="0"/>
        <v>-4.7120328076551199E-2</v>
      </c>
      <c r="G7" s="62" t="str">
        <f ca="1">IF(F7&gt;I5,"Buy","Sell")</f>
        <v>Sell</v>
      </c>
    </row>
    <row r="8" spans="1:26">
      <c r="A8" s="66" t="s">
        <v>57</v>
      </c>
      <c r="B8" s="67">
        <f ca="1">IFERROR(__xludf.DUMMYFUNCTION("GOOGLEFINANCE(A8)"),203.54)</f>
        <v>203.54</v>
      </c>
      <c r="C8" s="2">
        <f ca="1">IFERROR(__xludf.DUMMYFUNCTION("GOOGLEFINANCE(A8,""eps"")"),3.02)</f>
        <v>3.02</v>
      </c>
      <c r="D8" s="2">
        <v>6.61</v>
      </c>
      <c r="E8" s="56">
        <f ca="1">(C8*(I1+(D8*I2))*I3)/I4</f>
        <v>40.640377528089886</v>
      </c>
      <c r="F8" s="57">
        <f t="shared" ca="1" si="0"/>
        <v>0.1996677681442954</v>
      </c>
      <c r="G8" s="62" t="str">
        <f ca="1">IF(F8&gt;I5,"Buy","Sell")</f>
        <v>Sell</v>
      </c>
    </row>
    <row r="9" spans="1:26">
      <c r="A9" s="66" t="s">
        <v>58</v>
      </c>
      <c r="B9" s="67">
        <f ca="1">IFERROR(__xludf.DUMMYFUNCTION("GOOGLEFINANCE(A9)"),64.02)</f>
        <v>64.02</v>
      </c>
      <c r="C9" s="2">
        <f ca="1">IFERROR(__xludf.DUMMYFUNCTION("GOOGLEFINANCE(A9,""eps"")"),2.27)</f>
        <v>2.27</v>
      </c>
      <c r="D9" s="2">
        <v>5.44</v>
      </c>
      <c r="E9" s="56">
        <f ca="1">(C9*(I1+(D9*I2))*I3)/I4</f>
        <v>27.921510112359556</v>
      </c>
      <c r="F9" s="57">
        <f t="shared" ca="1" si="0"/>
        <v>0.43613730259855604</v>
      </c>
      <c r="G9" s="62" t="str">
        <f ca="1">IF(F9&gt;I5,"Buy","Sell")</f>
        <v>Sell</v>
      </c>
    </row>
    <row r="10" spans="1:26">
      <c r="A10" s="66" t="s">
        <v>59</v>
      </c>
      <c r="B10" s="67">
        <f ca="1">IFERROR(__xludf.DUMMYFUNCTION("GOOGLEFINANCE(A10)"),46.69)</f>
        <v>46.69</v>
      </c>
      <c r="C10" s="2">
        <f ca="1">IFERROR(__xludf.DUMMYFUNCTION("GOOGLEFINANCE(A10,""eps"")"),3.11)</f>
        <v>3.11</v>
      </c>
      <c r="D10" s="2">
        <v>4.6399999999999997</v>
      </c>
      <c r="E10" s="56">
        <f ca="1">(C10*(I1+(D10*I2))*I3)/I4</f>
        <v>35.79365393258427</v>
      </c>
      <c r="F10" s="57">
        <f t="shared" ca="1" si="0"/>
        <v>0.76662355820484629</v>
      </c>
      <c r="G10" s="62" t="str">
        <f ca="1">IF(F10&gt;I5,"Buy","Sell")</f>
        <v>Sell</v>
      </c>
    </row>
    <row r="11" spans="1:26">
      <c r="A11" s="68" t="s">
        <v>60</v>
      </c>
      <c r="B11" s="69">
        <f ca="1">IFERROR(__xludf.DUMMYFUNCTION("GOOGLEFINANCE(A11)"),54)</f>
        <v>54</v>
      </c>
      <c r="C11" s="70">
        <f ca="1">IFERROR(__xludf.DUMMYFUNCTION("GOOGLEFINANCE(A11,""eps"")"),3.85)</f>
        <v>3.85</v>
      </c>
      <c r="D11" s="70">
        <v>0</v>
      </c>
      <c r="E11" s="69">
        <f ca="1">(C11*(I1+(D11*I2))*I3)/I4</f>
        <v>26.647191011235957</v>
      </c>
      <c r="F11" s="71">
        <f t="shared" ca="1" si="0"/>
        <v>0.49346650020807331</v>
      </c>
      <c r="G11" s="72" t="s">
        <v>61</v>
      </c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>
      <c r="A12" s="66" t="s">
        <v>62</v>
      </c>
      <c r="B12" s="67">
        <f ca="1">IFERROR(__xludf.DUMMYFUNCTION("GOOGLEFINANCE(A12)"),95.56)</f>
        <v>95.56</v>
      </c>
      <c r="C12" s="2">
        <f ca="1">IFERROR(__xludf.DUMMYFUNCTION("GOOGLEFINANCE(A12,""eps"")"),5.6)</f>
        <v>5.6</v>
      </c>
      <c r="D12" s="2">
        <v>3.5</v>
      </c>
      <c r="E12" s="56">
        <f ca="1">(C12*(I1+(D12*I2))*I3)/I4</f>
        <v>58.139325842696636</v>
      </c>
      <c r="F12" s="57">
        <f t="shared" ca="1" si="0"/>
        <v>0.60840650735345991</v>
      </c>
      <c r="G12" s="62" t="str">
        <f ca="1">IF(F12&gt;I5,"Buy","Sell")</f>
        <v>Sell</v>
      </c>
    </row>
    <row r="13" spans="1:26">
      <c r="A13" s="66" t="s">
        <v>63</v>
      </c>
      <c r="B13" s="67">
        <f ca="1">IFERROR(__xludf.DUMMYFUNCTION("GOOGLEFINANCE(A13)"),35.6)</f>
        <v>35.6</v>
      </c>
      <c r="C13" s="2">
        <f ca="1">IFERROR(__xludf.DUMMYFUNCTION("GOOGLEFINANCE(A13,""eps"")"),3.7)</f>
        <v>3.7</v>
      </c>
      <c r="D13" s="2">
        <v>11.8</v>
      </c>
      <c r="E13" s="56">
        <f ca="1">(C13*(I1+(D13*I2))*I3)/I4</f>
        <v>68.77842696629213</v>
      </c>
      <c r="F13" s="57">
        <f t="shared" ca="1" si="0"/>
        <v>1.9319782855700036</v>
      </c>
      <c r="G13" s="62" t="str">
        <f ca="1">IF(F13&gt;I5,"Buy","Sell")</f>
        <v>Buy</v>
      </c>
    </row>
    <row r="14" spans="1:26">
      <c r="A14" s="66" t="s">
        <v>64</v>
      </c>
      <c r="B14" s="67">
        <f ca="1">IFERROR(__xludf.DUMMYFUNCTION("GOOGLEFINANCE(A14)"),194.27)</f>
        <v>194.27</v>
      </c>
      <c r="C14" s="2">
        <f ca="1">IFERROR(__xludf.DUMMYFUNCTION("GOOGLEFINANCE(A14,""eps"")"),4.75)</f>
        <v>4.75</v>
      </c>
      <c r="D14" s="2">
        <v>7.91</v>
      </c>
      <c r="E14" s="56">
        <f ca="1">(C14*(I1+(D14*I2))*I3)/I4</f>
        <v>70.026741573033718</v>
      </c>
      <c r="F14" s="57">
        <f t="shared" ca="1" si="0"/>
        <v>0.3604609130232857</v>
      </c>
      <c r="G14" s="62" t="str">
        <f ca="1">IF(F14&gt;I5,"Buy","Sell")</f>
        <v>Sell</v>
      </c>
    </row>
    <row r="15" spans="1:26">
      <c r="A15" s="66" t="s">
        <v>65</v>
      </c>
      <c r="B15" s="67">
        <f ca="1">IFERROR(__xludf.DUMMYFUNCTION("GOOGLEFINANCE(A15)"),80.59)</f>
        <v>80.59</v>
      </c>
      <c r="C15" s="2">
        <f ca="1">IFERROR(__xludf.DUMMYFUNCTION("GOOGLEFINANCE(A15,""eps"")"),1.91)</f>
        <v>1.91</v>
      </c>
      <c r="D15" s="2">
        <v>6.02</v>
      </c>
      <c r="E15" s="56">
        <f ca="1">(C15*(I1+(D15*I2))*I3)/I4</f>
        <v>24.588782022471907</v>
      </c>
      <c r="F15" s="57">
        <f t="shared" ca="1" si="0"/>
        <v>0.30510959203960675</v>
      </c>
      <c r="G15" s="62" t="str">
        <f ca="1">IF(F15&gt;I5,"Buy","Sell")</f>
        <v>Sell</v>
      </c>
    </row>
    <row r="16" spans="1:26">
      <c r="A16" s="66" t="s">
        <v>66</v>
      </c>
      <c r="B16" s="67">
        <f ca="1">IFERROR(__xludf.DUMMYFUNCTION("GOOGLEFINANCE(A16)"),156.03)</f>
        <v>156.03</v>
      </c>
      <c r="C16" s="2">
        <f ca="1">IFERROR(__xludf.DUMMYFUNCTION("GOOGLEFINANCE(A16,""eps"")"),5.74)</f>
        <v>5.74</v>
      </c>
      <c r="D16" s="2">
        <v>5.07</v>
      </c>
      <c r="E16" s="56">
        <f ca="1">(C16*(I1+(D16*I2))*I3)/I4</f>
        <v>68.50335280898878</v>
      </c>
      <c r="F16" s="57">
        <f t="shared" ca="1" si="0"/>
        <v>0.43903962577061323</v>
      </c>
      <c r="G16" s="62" t="str">
        <f ca="1">IF(F16&gt;I5,"Buy","Sell")</f>
        <v>Sell</v>
      </c>
    </row>
    <row r="17" spans="1:26">
      <c r="A17" s="66" t="s">
        <v>67</v>
      </c>
      <c r="B17" s="67">
        <f ca="1">IFERROR(__xludf.DUMMYFUNCTION("GOOGLEFINANCE(A17)"),145.18)</f>
        <v>145.18</v>
      </c>
      <c r="C17" s="2">
        <f ca="1">IFERROR(__xludf.DUMMYFUNCTION("GOOGLEFINANCE(A17,""eps"")"),5.84)</f>
        <v>5.84</v>
      </c>
      <c r="D17" s="2">
        <v>9.49</v>
      </c>
      <c r="E17" s="56">
        <f ca="1">(C17*(I1+(D17*I2))*I3)/I4</f>
        <v>95.219559550561797</v>
      </c>
      <c r="F17" s="57">
        <f t="shared" ca="1" si="0"/>
        <v>0.65587243112385862</v>
      </c>
      <c r="G17" s="62" t="str">
        <f ca="1">IF(F17&gt;I5,"Buy","Sell")</f>
        <v>Sell</v>
      </c>
    </row>
    <row r="18" spans="1:26">
      <c r="A18" s="66" t="s">
        <v>68</v>
      </c>
      <c r="B18" s="67">
        <f ca="1">IFERROR(__xludf.DUMMYFUNCTION("GOOGLEFINANCE(A18)"),37.82)</f>
        <v>37.82</v>
      </c>
      <c r="C18" s="2">
        <f ca="1">IFERROR(__xludf.DUMMYFUNCTION("GOOGLEFINANCE(A18,""eps"")"),1.68)</f>
        <v>1.68</v>
      </c>
      <c r="D18" s="2">
        <v>8.3000000000000007</v>
      </c>
      <c r="E18" s="56">
        <f ca="1">(C18*(I1+(D18*I2))*I3)/I4</f>
        <v>25.415191011235958</v>
      </c>
      <c r="F18" s="57">
        <f t="shared" ca="1" si="0"/>
        <v>0.67200399289360013</v>
      </c>
      <c r="G18" s="62" t="str">
        <f ca="1">IF(F18&gt;I5,"Buy","Sell")</f>
        <v>Sell</v>
      </c>
    </row>
    <row r="19" spans="1:26">
      <c r="A19" s="66" t="s">
        <v>69</v>
      </c>
      <c r="B19" s="67">
        <f ca="1">IFERROR(__xludf.DUMMYFUNCTION("GOOGLEFINANCE(A19)"),76.77)</f>
        <v>76.77</v>
      </c>
      <c r="C19" s="2">
        <f ca="1">IFERROR(__xludf.DUMMYFUNCTION("GOOGLEFINANCE(A19,""eps"")"),3.02)</f>
        <v>3.02</v>
      </c>
      <c r="D19" s="2">
        <v>15.94</v>
      </c>
      <c r="E19" s="56">
        <f ca="1">(C19*(I1+(D19*I2))*I3)/I4</f>
        <v>68.500386516853922</v>
      </c>
      <c r="F19" s="57">
        <f t="shared" ca="1" si="0"/>
        <v>0.8922806632389465</v>
      </c>
      <c r="G19" s="62" t="str">
        <f ca="1">IF(F19&gt;I5,"Buy","Sell")</f>
        <v>Buy</v>
      </c>
    </row>
    <row r="20" spans="1:26">
      <c r="A20" s="74" t="s">
        <v>70</v>
      </c>
      <c r="B20" s="75">
        <f ca="1">IFERROR(__xludf.DUMMYFUNCTION("GOOGLEFINANCE(A20)"),50.36)</f>
        <v>50.36</v>
      </c>
      <c r="C20" s="2">
        <f ca="1">IFERROR(__xludf.DUMMYFUNCTION("GOOGLEFINANCE(A20,""eps"")"),9.12)</f>
        <v>9.1199999999999992</v>
      </c>
      <c r="D20" s="2">
        <v>29.94</v>
      </c>
      <c r="E20" s="56">
        <f ca="1">(C20*(I1+(D20*I2))*I3)/I4</f>
        <v>333.10748764044945</v>
      </c>
      <c r="F20" s="57">
        <f t="shared" ca="1" si="0"/>
        <v>6.6145251715736588</v>
      </c>
      <c r="G20" s="62" t="str">
        <f ca="1">IF(F20&gt;I5,"Buy","Sell")</f>
        <v>Buy</v>
      </c>
    </row>
    <row r="21" spans="1:26">
      <c r="A21" s="74" t="s">
        <v>71</v>
      </c>
      <c r="B21" s="75">
        <f ca="1">IFERROR(__xludf.DUMMYFUNCTION("GOOGLEFINANCE(A21)"),64.51)</f>
        <v>64.510000000000005</v>
      </c>
      <c r="C21" s="2">
        <f ca="1">IFERROR(__xludf.DUMMYFUNCTION("GOOGLEFINANCE(A21,""eps"")"),5.3)</f>
        <v>5.3</v>
      </c>
      <c r="D21" s="2">
        <v>12.5</v>
      </c>
      <c r="E21" s="56">
        <f ca="1">(C21*(I1+(D21*I2))*I3)/I4</f>
        <v>102.18876404494382</v>
      </c>
      <c r="F21" s="57">
        <f t="shared" ca="1" si="0"/>
        <v>1.5840763299479741</v>
      </c>
      <c r="G21" s="62" t="str">
        <f ca="1">IF(F21&gt;I5,"Buy","Sell")</f>
        <v>Buy</v>
      </c>
    </row>
    <row r="22" spans="1:26">
      <c r="A22" s="76" t="s">
        <v>72</v>
      </c>
      <c r="B22" s="77">
        <f ca="1">IFERROR(__xludf.DUMMYFUNCTION("GOOGLEFINANCE(A22)"),39.91)</f>
        <v>39.909999999999997</v>
      </c>
      <c r="C22" s="2">
        <f ca="1">IFERROR(__xludf.DUMMYFUNCTION("GOOGLEFINANCE(A22,""eps"")"),0.94)</f>
        <v>0.94</v>
      </c>
      <c r="D22" s="2">
        <v>2.61</v>
      </c>
      <c r="E22" s="78">
        <f ca="1">(C22*(I1+(D22*I2))*I3)/I4</f>
        <v>8.9319011235955035</v>
      </c>
      <c r="F22" s="57">
        <f t="shared" ca="1" si="0"/>
        <v>0.22380108052105999</v>
      </c>
      <c r="G22" s="62" t="str">
        <f ca="1">IF(F22&gt;I5,"Buy","Sell")</f>
        <v>Sell</v>
      </c>
    </row>
    <row r="23" spans="1:26">
      <c r="A23" s="74" t="s">
        <v>73</v>
      </c>
      <c r="B23" s="75">
        <f ca="1">IFERROR(__xludf.DUMMYFUNCTION("GOOGLEFINANCE(A23)"),160.21)</f>
        <v>160.21</v>
      </c>
      <c r="C23" s="2">
        <f ca="1">IFERROR(__xludf.DUMMYFUNCTION("GOOGLEFINANCE(A23,""eps"")"),18.28)</f>
        <v>18.28</v>
      </c>
      <c r="D23" s="2">
        <v>-2.1</v>
      </c>
      <c r="E23" s="56">
        <f ca="1">(C23*(I1+(D23*I2))*I3)/I4</f>
        <v>88.565573033707892</v>
      </c>
      <c r="F23" s="57">
        <f t="shared" ca="1" si="0"/>
        <v>0.55280926929472496</v>
      </c>
      <c r="G23" s="62" t="str">
        <f ca="1">IF(F23&gt;I5,"Buy","Sell")</f>
        <v>Sell</v>
      </c>
    </row>
    <row r="24" spans="1:26">
      <c r="A24" s="74" t="s">
        <v>74</v>
      </c>
      <c r="B24" s="75">
        <f ca="1">IFERROR(__xludf.DUMMYFUNCTION("GOOGLEFINANCE(A24)"),37.13)</f>
        <v>37.130000000000003</v>
      </c>
      <c r="C24" s="2">
        <f ca="1">IFERROR(__xludf.DUMMYFUNCTION("GOOGLEFINANCE(A24,""eps"")"),8.4)</f>
        <v>8.4</v>
      </c>
      <c r="D24" s="2">
        <v>-4</v>
      </c>
      <c r="E24" s="56">
        <f ca="1">(C24*(I1+(D24*I2))*I3)/I4</f>
        <v>24.916853932584274</v>
      </c>
      <c r="F24" s="57">
        <f t="shared" ca="1" si="0"/>
        <v>0.67107066880108468</v>
      </c>
      <c r="G24" s="62" t="str">
        <f ca="1">IF(F24&gt;I5,"Buy","Sell")</f>
        <v>Sell</v>
      </c>
    </row>
    <row r="25" spans="1:26">
      <c r="A25" s="79" t="s">
        <v>75</v>
      </c>
      <c r="B25" s="80">
        <f ca="1">IFERROR(__xludf.DUMMYFUNCTION("GOOGLEFINANCE(""LON:TRIG"")"),127.4)</f>
        <v>127.4</v>
      </c>
      <c r="C25" s="81">
        <f ca="1">IFERROR(__xludf.DUMMYFUNCTION("GOOGLEFINANCE(A25,""eps"")"),0.21)</f>
        <v>0.21</v>
      </c>
      <c r="D25" s="81"/>
      <c r="E25" s="82">
        <f ca="1">(C25*(I1+(D25*I2))*I3)/I4</f>
        <v>1.4534831460674156</v>
      </c>
      <c r="F25" s="71">
        <f t="shared" ca="1" si="0"/>
        <v>1.1408815903197924E-2</v>
      </c>
      <c r="G25" s="72" t="s">
        <v>61</v>
      </c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>
      <c r="A26" s="83" t="s">
        <v>76</v>
      </c>
      <c r="B26" s="84">
        <f ca="1">IFERROR(__xludf.DUMMYFUNCTION("GOOGLEFINANCE(A26)"),107.47)</f>
        <v>107.47</v>
      </c>
      <c r="C26" s="2">
        <f ca="1">IFERROR(__xludf.DUMMYFUNCTION("GOOGLEFINANCE(A26,""eps"")"),6.1)</f>
        <v>6.1</v>
      </c>
      <c r="D26" s="2">
        <v>-17.82</v>
      </c>
      <c r="E26" s="56">
        <f ca="1">(C26*(I1+(D26*I2))*I3)/I4</f>
        <v>-65.260404494382016</v>
      </c>
      <c r="F26" s="57">
        <f t="shared" ca="1" si="0"/>
        <v>-0.60724299334123022</v>
      </c>
      <c r="G26" s="62" t="str">
        <f ca="1">IF(F26&gt;I5,"Buy","Sell")</f>
        <v>Sell</v>
      </c>
    </row>
    <row r="27" spans="1:26">
      <c r="A27" s="83" t="s">
        <v>77</v>
      </c>
      <c r="B27" s="85" t="str">
        <f ca="1">IFERROR(__xludf.DUMMYFUNCTION("GOOGLEFINANCE(A27)"),"#N/A")</f>
        <v>#N/A</v>
      </c>
      <c r="C27" s="2" t="str">
        <f ca="1">IFERROR(__xludf.DUMMYFUNCTION("GOOGLEFINANCE(A27,""eps"")"),"#N/A")</f>
        <v>#N/A</v>
      </c>
      <c r="D27" s="2">
        <v>-0.2</v>
      </c>
      <c r="E27" s="86" t="e">
        <f ca="1">(C27*(I1+(D27*I2))*I3)/I4</f>
        <v>#VALUE!</v>
      </c>
      <c r="F27" s="57" t="e">
        <f t="shared" ca="1" si="0"/>
        <v>#VALUE!</v>
      </c>
      <c r="G27" s="62" t="e">
        <f ca="1">IF(F27&gt;I5,"Buy","Sell")</f>
        <v>#VALUE!</v>
      </c>
    </row>
    <row r="28" spans="1:26">
      <c r="A28" s="83" t="s">
        <v>78</v>
      </c>
      <c r="B28" s="84">
        <f ca="1">IFERROR(__xludf.DUMMYFUNCTION("GOOGLEFINANCE(A28)"),136.74)</f>
        <v>136.74</v>
      </c>
      <c r="C28" s="2">
        <f ca="1">IFERROR(__xludf.DUMMYFUNCTION("GOOGLEFINANCE(A28,""eps"")"),13.56)</f>
        <v>13.56</v>
      </c>
      <c r="D28" s="2">
        <v>-0.99</v>
      </c>
      <c r="E28" s="56">
        <f ca="1">(C28*(I1+(D28*I2))*I3)/I4</f>
        <v>80.579919101123593</v>
      </c>
      <c r="F28" s="57">
        <f t="shared" ca="1" si="0"/>
        <v>0.58929295817700444</v>
      </c>
      <c r="G28" s="62" t="str">
        <f ca="1">IF(F28&gt;I5,"Buy","Sell")</f>
        <v>Sell</v>
      </c>
    </row>
    <row r="29" spans="1:26">
      <c r="A29" s="83" t="s">
        <v>79</v>
      </c>
      <c r="B29" s="84">
        <f ca="1">IFERROR(__xludf.DUMMYFUNCTION("GOOGLEFINANCE(A29)"),10.06)</f>
        <v>10.06</v>
      </c>
      <c r="C29" s="2">
        <f ca="1">IFERROR(__xludf.DUMMYFUNCTION("GOOGLEFINANCE(A29,""eps"")"),1.26)</f>
        <v>1.26</v>
      </c>
      <c r="D29" s="2">
        <v>-0.3</v>
      </c>
      <c r="E29" s="56">
        <f ca="1">(C29*(I1+(D29*I2))*I3)/I4</f>
        <v>8.3471460674157303</v>
      </c>
      <c r="F29" s="57">
        <f t="shared" ca="1" si="0"/>
        <v>0.82973618960394924</v>
      </c>
      <c r="G29" s="62" t="str">
        <f ca="1">IF(F29&gt;I5,"Buy","Sell")</f>
        <v>Buy</v>
      </c>
    </row>
    <row r="30" spans="1:26">
      <c r="A30" s="83" t="s">
        <v>80</v>
      </c>
      <c r="B30" s="84">
        <f ca="1">IFERROR(__xludf.DUMMYFUNCTION("GOOGLEFINANCE(A30)"),105.24)</f>
        <v>105.24</v>
      </c>
      <c r="C30" s="2">
        <f ca="1">IFERROR(__xludf.DUMMYFUNCTION("GOOGLEFINANCE(A30,""eps"")"),0.15)</f>
        <v>0.15</v>
      </c>
      <c r="D30" s="2">
        <v>-1.3</v>
      </c>
      <c r="E30" s="56">
        <f ca="1">(C30*(I1+(D30*I2))*I3)/I4</f>
        <v>0.84539325842696622</v>
      </c>
      <c r="F30" s="57">
        <f t="shared" ca="1" si="0"/>
        <v>8.0330032157636469E-3</v>
      </c>
      <c r="G30" s="62" t="str">
        <f ca="1">IF(F30&gt;I5,"Buy","Sell")</f>
        <v>Sell</v>
      </c>
    </row>
    <row r="31" spans="1:26">
      <c r="A31" s="83" t="s">
        <v>81</v>
      </c>
      <c r="B31" s="84">
        <f ca="1">IFERROR(__xludf.DUMMYFUNCTION("GOOGLEFINANCE(A31)"),115.84)</f>
        <v>115.84</v>
      </c>
      <c r="C31" s="2">
        <f ca="1">IFERROR(__xludf.DUMMYFUNCTION("GOOGLEFINANCE(A31,""eps"")"),9.61)</f>
        <v>9.61</v>
      </c>
      <c r="D31" s="2">
        <v>2.62</v>
      </c>
      <c r="E31" s="56">
        <f ca="1">(C31*(I1+(D31*I2))*I3)/I4</f>
        <v>91.409456179775276</v>
      </c>
      <c r="F31" s="57">
        <f t="shared" ca="1" si="0"/>
        <v>0.78910096840275612</v>
      </c>
      <c r="G31" s="62" t="str">
        <f ca="1">IF(F31&gt;I5,"Buy","Sell")</f>
        <v>Sell</v>
      </c>
    </row>
    <row r="32" spans="1:26">
      <c r="A32" s="83" t="s">
        <v>82</v>
      </c>
      <c r="B32" s="84">
        <f ca="1">IFERROR(__xludf.DUMMYFUNCTION("GOOGLEFINANCE(A32)"),25.32)</f>
        <v>25.32</v>
      </c>
      <c r="C32" s="2">
        <f ca="1">IFERROR(__xludf.DUMMYFUNCTION("GOOGLEFINANCE(A32,""eps"")"),4.07)</f>
        <v>4.07</v>
      </c>
      <c r="D32" s="2">
        <v>-11.27</v>
      </c>
      <c r="E32" s="56">
        <f ca="1">(C32*(I1+(D32*I2))*I3)/I4</f>
        <v>-17.183631460674157</v>
      </c>
      <c r="F32" s="57">
        <f t="shared" ca="1" si="0"/>
        <v>-0.67865843051635688</v>
      </c>
      <c r="G32" s="62" t="str">
        <f ca="1">IF(F32&gt;I5,"Buy","Sell")</f>
        <v>Sell</v>
      </c>
    </row>
    <row r="33" spans="1:26">
      <c r="A33" s="87" t="s">
        <v>83</v>
      </c>
      <c r="B33" s="88">
        <f ca="1">IFERROR(__xludf.DUMMYFUNCTION("GOOGLEFINANCE(""dov"")"),144.51)</f>
        <v>144.51</v>
      </c>
      <c r="C33" s="2">
        <f ca="1">IFERROR(__xludf.DUMMYFUNCTION("GOOGLEFINANCE(A33,""eps"")"),7.49)</f>
        <v>7.49</v>
      </c>
      <c r="D33" s="2">
        <v>9.85</v>
      </c>
      <c r="E33" s="56">
        <f ca="1">(C33*(I1+(D33*I2))*I3)/I4</f>
        <v>124.78844943820228</v>
      </c>
      <c r="F33" s="57">
        <f t="shared" ca="1" si="0"/>
        <v>0.86352812565360382</v>
      </c>
      <c r="G33" s="62" t="str">
        <f ca="1">IF(F33&gt;I5,"Buy","Sell")</f>
        <v>Buy</v>
      </c>
    </row>
    <row r="34" spans="1:26">
      <c r="A34" s="87" t="s">
        <v>84</v>
      </c>
      <c r="B34" s="88">
        <f ca="1">IFERROR(__xludf.DUMMYFUNCTION("GOOGLEFINANCE(""ph"")"),333.3)</f>
        <v>333.3</v>
      </c>
      <c r="C34" s="2">
        <f ca="1">IFERROR(__xludf.DUMMYFUNCTION("GOOGLEFINANCE(A34,""eps"")"),9.68)</f>
        <v>9.68</v>
      </c>
      <c r="D34" s="2">
        <v>11.1</v>
      </c>
      <c r="E34" s="56">
        <f ca="1">(C34*(I1+(D34*I2))*I3)/I4</f>
        <v>173.23937078651684</v>
      </c>
      <c r="F34" s="57">
        <f t="shared" ca="1" si="0"/>
        <v>0.51977008936848734</v>
      </c>
      <c r="G34" s="62" t="str">
        <f ca="1">IF(F34&gt;I5,"Buy","Sell")</f>
        <v>Sell</v>
      </c>
    </row>
    <row r="35" spans="1:26">
      <c r="A35" s="79" t="s">
        <v>85</v>
      </c>
      <c r="B35" s="69">
        <f ca="1">IFERROR(__xludf.DUMMYFUNCTION("GOOGLEFINANCE(""EMR"")"),84.4)</f>
        <v>84.4</v>
      </c>
      <c r="C35" s="70">
        <f ca="1">IFERROR(__xludf.DUMMYFUNCTION("GOOGLEFINANCE(A35,""eps"")"),7.89)</f>
        <v>7.89</v>
      </c>
      <c r="D35" s="70">
        <v>0</v>
      </c>
      <c r="E35" s="89">
        <f ca="1">(C35*(I1+(D35*I2))*I3)/I4</f>
        <v>54.60943820224719</v>
      </c>
      <c r="F35" s="71">
        <f t="shared" ca="1" si="0"/>
        <v>0.64703125832046426</v>
      </c>
      <c r="G35" s="72" t="s">
        <v>61</v>
      </c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>
      <c r="A36" s="87" t="s">
        <v>86</v>
      </c>
      <c r="B36" s="88">
        <f ca="1">IFERROR(__xludf.DUMMYFUNCTION("GOOGLEFINANCE(""CMI"")"),226.38)</f>
        <v>226.38</v>
      </c>
      <c r="C36" s="2">
        <f ca="1">IFERROR(__xludf.DUMMYFUNCTION("GOOGLEFINANCE(A36,""eps"")"),17.74)</f>
        <v>17.739999999999998</v>
      </c>
      <c r="D36" s="2">
        <v>9.5</v>
      </c>
      <c r="E36" s="56">
        <f ca="1">(C36*(I1+(D36*I2))*I3)/I4</f>
        <v>289.42112359550561</v>
      </c>
      <c r="F36" s="57">
        <f t="shared" ca="1" si="0"/>
        <v>1.278474792806368</v>
      </c>
      <c r="G36" s="62" t="str">
        <f ca="1">IF(F36&gt;I5,"Buy","Sell")</f>
        <v>Buy</v>
      </c>
    </row>
    <row r="37" spans="1:26">
      <c r="A37" s="87" t="s">
        <v>87</v>
      </c>
      <c r="B37" s="88">
        <f ca="1">IFERROR(__xludf.DUMMYFUNCTION("GOOGLEFINANCE(""gd"")"),211.92)</f>
        <v>211.92</v>
      </c>
      <c r="C37" s="2">
        <f ca="1">IFERROR(__xludf.DUMMYFUNCTION("GOOGLEFINANCE(A37,""eps"")"),12.22)</f>
        <v>12.22</v>
      </c>
      <c r="D37" s="2">
        <v>9.32</v>
      </c>
      <c r="E37" s="56">
        <f ca="1">(C37*(I1+(D37*I2))*I3)/I4</f>
        <v>197.18960898876406</v>
      </c>
      <c r="F37" s="57">
        <f t="shared" ca="1" si="0"/>
        <v>0.93049079364271459</v>
      </c>
      <c r="G37" s="62" t="str">
        <f ca="1">IF(F37&gt;I5,"Buy","Sell")</f>
        <v>Buy</v>
      </c>
    </row>
    <row r="38" spans="1:26">
      <c r="A38" s="87" t="s">
        <v>88</v>
      </c>
      <c r="B38" s="88">
        <f ca="1">IFERROR(__xludf.DUMMYFUNCTION("GOOGLEFINANCE(""DE"")"),381.09)</f>
        <v>381.09</v>
      </c>
      <c r="C38" s="2">
        <f ca="1">IFERROR(__xludf.DUMMYFUNCTION("GOOGLEFINANCE(A38,""eps"")"),26.96)</f>
        <v>26.96</v>
      </c>
      <c r="D38" s="2">
        <v>12.19</v>
      </c>
      <c r="E38" s="56">
        <f ca="1">(C38*(I1+(D38*I2))*I3)/I4</f>
        <v>511.54933932584271</v>
      </c>
      <c r="F38" s="57">
        <f t="shared" ca="1" si="0"/>
        <v>1.3423320982598408</v>
      </c>
      <c r="G38" s="62" t="str">
        <f ca="1">IF(F38&gt;I5,"Buy","Sell")</f>
        <v>Buy</v>
      </c>
    </row>
    <row r="39" spans="1:26">
      <c r="A39" s="87" t="s">
        <v>89</v>
      </c>
      <c r="B39" s="88">
        <f ca="1">IFERROR(__xludf.DUMMYFUNCTION("GOOGLEFINANCE(""cat"")"),215.09)</f>
        <v>215.09</v>
      </c>
      <c r="C39" s="2">
        <f ca="1">IFERROR(__xludf.DUMMYFUNCTION("GOOGLEFINANCE(A39,""eps"")"),13.53)</f>
        <v>13.53</v>
      </c>
      <c r="D39" s="2">
        <v>13.22</v>
      </c>
      <c r="E39" s="56">
        <f ca="1">(C39*(I1+(D39*I2))*I3)/I4</f>
        <v>270.50270561797754</v>
      </c>
      <c r="F39" s="57">
        <f t="shared" ca="1" si="0"/>
        <v>1.2576256711979987</v>
      </c>
      <c r="G39" s="62" t="str">
        <f ca="1">IF(F39&gt;I5,"Buy","Sell")</f>
        <v>Buy</v>
      </c>
    </row>
    <row r="40" spans="1:26">
      <c r="A40" s="90" t="s">
        <v>90</v>
      </c>
      <c r="B40" s="91">
        <f ca="1">IFERROR(__xludf.DUMMYFUNCTION("GOOGLEFINANCE(""epr"")"),42.3)</f>
        <v>42.3</v>
      </c>
      <c r="C40" s="2">
        <f ca="1">IFERROR(__xludf.DUMMYFUNCTION("GOOGLEFINANCE(A40,""eps"")"),2.23)</f>
        <v>2.23</v>
      </c>
      <c r="D40" s="2">
        <v>7</v>
      </c>
      <c r="E40" s="56">
        <f ca="1">(C40*(I1+(D40*I2))*I3)/I4</f>
        <v>30.869213483146066</v>
      </c>
      <c r="F40" s="57">
        <f t="shared" ca="1" si="0"/>
        <v>0.72976864026350041</v>
      </c>
      <c r="G40" s="62" t="str">
        <f ca="1">IF(F40&gt;I5,"Buy","Sell")</f>
        <v>Sell</v>
      </c>
    </row>
    <row r="41" spans="1:26">
      <c r="A41" s="90" t="s">
        <v>91</v>
      </c>
      <c r="B41" s="91">
        <f ca="1">IFERROR(__xludf.DUMMYFUNCTION("GOOGLEFINANCE(""amt"")"),196.75)</f>
        <v>196.75</v>
      </c>
      <c r="C41" s="2">
        <f ca="1">IFERROR(__xludf.DUMMYFUNCTION("GOOGLEFINANCE(A41,""eps"")"),3)</f>
        <v>3</v>
      </c>
      <c r="D41" s="2">
        <v>0.18</v>
      </c>
      <c r="E41" s="56">
        <f ca="1">(C41*(I1+(D41*I2))*I3)/I4</f>
        <v>21.297977528089888</v>
      </c>
      <c r="F41" s="57">
        <f t="shared" ca="1" si="0"/>
        <v>0.10824893279842382</v>
      </c>
      <c r="G41" s="62" t="str">
        <f ca="1">IF(F41&gt;I5,"Buy","Sell")</f>
        <v>Sell</v>
      </c>
    </row>
    <row r="42" spans="1:26">
      <c r="A42" s="90" t="s">
        <v>92</v>
      </c>
      <c r="B42" s="91">
        <f ca="1">IFERROR(__xludf.DUMMYFUNCTION("GOOGLEFINANCE(""glpi"")"),51.05)</f>
        <v>51.05</v>
      </c>
      <c r="C42" s="2">
        <f ca="1">IFERROR(__xludf.DUMMYFUNCTION("GOOGLEFINANCE(A42,""eps"")"),2.88)</f>
        <v>2.88</v>
      </c>
      <c r="D42" s="2">
        <v>8.41</v>
      </c>
      <c r="E42" s="56">
        <f ca="1">(C42*(I1+(D42*I2))*I3)/I4</f>
        <v>43.882139325842701</v>
      </c>
      <c r="F42" s="57">
        <f t="shared" ca="1" si="0"/>
        <v>0.85959136779319689</v>
      </c>
      <c r="G42" s="62" t="str">
        <f ca="1">IF(F42&gt;I5,"Buy","Sell")</f>
        <v>Buy</v>
      </c>
    </row>
    <row r="43" spans="1:26">
      <c r="A43" s="90" t="s">
        <v>93</v>
      </c>
      <c r="B43" s="91">
        <f ca="1">IFERROR(__xludf.DUMMYFUNCTION("GOOGLEFINANCE(""frt"")"),96.34)</f>
        <v>96.34</v>
      </c>
      <c r="C43" s="2">
        <f ca="1">IFERROR(__xludf.DUMMYFUNCTION("GOOGLEFINANCE(A43,""eps"")"),4.67)</f>
        <v>4.67</v>
      </c>
      <c r="D43" s="2">
        <v>7.12</v>
      </c>
      <c r="E43" s="56">
        <f ca="1">(C43*(I1+(D43*I2))*I3)/I4</f>
        <v>65.199496629213485</v>
      </c>
      <c r="F43" s="57">
        <f t="shared" ca="1" si="0"/>
        <v>0.67676454877738723</v>
      </c>
      <c r="G43" s="62" t="str">
        <f ca="1">IF(F43&gt;I5,"Buy","Sell")</f>
        <v>Sell</v>
      </c>
    </row>
    <row r="44" spans="1:26">
      <c r="A44" s="90" t="s">
        <v>94</v>
      </c>
      <c r="B44" s="91">
        <f ca="1">IFERROR(__xludf.DUMMYFUNCTION("GOOGLEFINANCE(""o"")"),62.95)</f>
        <v>62.95</v>
      </c>
      <c r="C44" s="2">
        <f ca="1">IFERROR(__xludf.DUMMYFUNCTION("GOOGLEFINANCE(A44,""eps"")"),1.42)</f>
        <v>1.42</v>
      </c>
      <c r="D44" s="2">
        <v>22.62</v>
      </c>
      <c r="E44" s="56">
        <f ca="1">(C44*(I1+(D44*I2))*I3)/I4</f>
        <v>41.587811235955058</v>
      </c>
      <c r="F44" s="57">
        <f t="shared" ca="1" si="0"/>
        <v>0.66064831192938933</v>
      </c>
      <c r="G44" s="62" t="str">
        <f ca="1">IF(F44&gt;I5,"Buy","Sell")</f>
        <v>Sell</v>
      </c>
    </row>
    <row r="45" spans="1:26">
      <c r="A45" s="90" t="s">
        <v>95</v>
      </c>
      <c r="B45" s="91">
        <f ca="1">IFERROR(__xludf.DUMMYFUNCTION("GOOGLEFINANCE(""nnn"")"),44.44)</f>
        <v>44.44</v>
      </c>
      <c r="C45" s="2">
        <f ca="1">IFERROR(__xludf.DUMMYFUNCTION("GOOGLEFINANCE(A45,""eps"")"),1.91)</f>
        <v>1.91</v>
      </c>
      <c r="D45" s="2">
        <v>9.7899999999999991</v>
      </c>
      <c r="E45" s="56">
        <f ca="1">(C45*(I1+(D45*I2))*I3)/I4</f>
        <v>31.708575280898877</v>
      </c>
      <c r="F45" s="57">
        <f t="shared" ca="1" si="0"/>
        <v>0.71351429524974974</v>
      </c>
      <c r="G45" s="62" t="str">
        <f ca="1">IF(F45&gt;I5,"Buy","Sell")</f>
        <v>Sell</v>
      </c>
    </row>
    <row r="46" spans="1:26">
      <c r="A46" s="90" t="s">
        <v>96</v>
      </c>
      <c r="B46" s="91">
        <f ca="1">IFERROR(__xludf.DUMMYFUNCTION("GOOGLEFINANCE(""spg"")"),109.55)</f>
        <v>109.55</v>
      </c>
      <c r="C46" s="2">
        <f ca="1">IFERROR(__xludf.DUMMYFUNCTION("GOOGLEFINANCE(A46,""eps"")"),6.6)</f>
        <v>6.6</v>
      </c>
      <c r="D46" s="2">
        <v>8.6</v>
      </c>
      <c r="E46" s="56">
        <f ca="1">(C46*(I1+(D46*I2))*I3)/I4</f>
        <v>101.80314606741572</v>
      </c>
      <c r="F46" s="57">
        <f t="shared" ca="1" si="0"/>
        <v>0.92928476556290029</v>
      </c>
      <c r="G46" s="62" t="str">
        <f ca="1">IF(F46&gt;I5,"Buy","Sell")</f>
        <v>Buy</v>
      </c>
    </row>
    <row r="47" spans="1:26">
      <c r="A47" s="68" t="s">
        <v>97</v>
      </c>
      <c r="B47" s="69">
        <f ca="1">IFERROR(__xludf.DUMMYFUNCTION("GOOGLEFINANCE(""gnl"")"),11.34)</f>
        <v>11.34</v>
      </c>
      <c r="C47" s="70">
        <f ca="1">IFERROR(__xludf.DUMMYFUNCTION("GOOGLEFINANCE(A47,""eps"")"),-0.09)</f>
        <v>-0.09</v>
      </c>
      <c r="D47" s="70">
        <v>0</v>
      </c>
      <c r="E47" s="89">
        <f ca="1">(C47*(I1+(D47*I2))*I3)/I4</f>
        <v>-0.62292134831460677</v>
      </c>
      <c r="F47" s="71">
        <f t="shared" ca="1" si="0"/>
        <v>-5.4931335830212237E-2</v>
      </c>
      <c r="G47" s="72" t="s">
        <v>61</v>
      </c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>
      <c r="A48" s="90" t="s">
        <v>98</v>
      </c>
      <c r="B48" s="91">
        <f ca="1">IFERROR(__xludf.DUMMYFUNCTION("GOOGLEFINANCE(""abr"")"),11.75)</f>
        <v>11.75</v>
      </c>
      <c r="C48" s="2">
        <f ca="1">IFERROR(__xludf.DUMMYFUNCTION("GOOGLEFINANCE(A48,""eps"")"),1.43)</f>
        <v>1.43</v>
      </c>
      <c r="D48" s="2">
        <v>8</v>
      </c>
      <c r="E48" s="56">
        <f ca="1">(C48*(I1+(D48*I2))*I3)/I4</f>
        <v>21.208988764044946</v>
      </c>
      <c r="F48" s="57">
        <f t="shared" ca="1" si="0"/>
        <v>1.8050203203442508</v>
      </c>
      <c r="G48" s="62" t="str">
        <f ca="1">IF(F48&gt;I5,"Buy","Sell")</f>
        <v>Buy</v>
      </c>
    </row>
    <row r="49" spans="1:7">
      <c r="A49" s="92" t="s">
        <v>99</v>
      </c>
      <c r="B49" s="93">
        <f ca="1">IFERROR(__xludf.DUMMYFUNCTION("GOOGLEFINANCE(""QCOM"")"),108.78)</f>
        <v>108.78</v>
      </c>
      <c r="C49" s="2">
        <f ca="1">IFERROR(__xludf.DUMMYFUNCTION("GOOGLEFINANCE(A49,""eps"")"),9.32)</f>
        <v>9.32</v>
      </c>
      <c r="D49" s="2">
        <v>-7.24</v>
      </c>
      <c r="E49" s="56">
        <f ca="1">(C49*(I1+(D49*I2))*I3)/I4</f>
        <v>-2.2116674157303389</v>
      </c>
      <c r="F49" s="57">
        <f t="shared" ca="1" si="0"/>
        <v>-2.0331562931883974E-2</v>
      </c>
      <c r="G49" s="62" t="str">
        <f ca="1">IF(F49&gt;I5,"Buy","Sell")</f>
        <v>Sell</v>
      </c>
    </row>
    <row r="50" spans="1:7">
      <c r="A50" s="92" t="s">
        <v>100</v>
      </c>
      <c r="B50" s="93">
        <f ca="1">IFERROR(__xludf.DUMMYFUNCTION("GOOGLEFINANCE(""tsm"")"),84.97)</f>
        <v>84.97</v>
      </c>
      <c r="C50" s="2">
        <f ca="1">IFERROR(__xludf.DUMMYFUNCTION("GOOGLEFINANCE(A50,""eps"")"),6.41)</f>
        <v>6.41</v>
      </c>
      <c r="D50" s="2">
        <v>21.5</v>
      </c>
      <c r="E50" s="56">
        <f ca="1">(C50*(I1+(D50*I2))*I3)/I4</f>
        <v>180.6323595505618</v>
      </c>
      <c r="F50" s="57">
        <f t="shared" ca="1" si="0"/>
        <v>2.1258368783166035</v>
      </c>
      <c r="G50" s="62" t="str">
        <f ca="1">IF(F50&gt;I5,"Buy","Sell")</f>
        <v>Buy</v>
      </c>
    </row>
    <row r="51" spans="1:7">
      <c r="A51" s="92" t="s">
        <v>101</v>
      </c>
      <c r="B51" s="93">
        <f ca="1">IFERROR(__xludf.DUMMYFUNCTION("GOOGLEFINANCE(""msf"")"),280.65)</f>
        <v>280.64999999999998</v>
      </c>
      <c r="C51" s="2">
        <f ca="1">IFERROR(__xludf.DUMMYFUNCTION("GOOGLEFINANCE(A51,""eps"")"),9.23)</f>
        <v>9.23</v>
      </c>
      <c r="D51" s="2">
        <v>11.77</v>
      </c>
      <c r="E51" s="56">
        <f ca="1">(C51*(I1+(D51*I2))*I3)/I4</f>
        <v>171.30050337078654</v>
      </c>
      <c r="F51" s="57">
        <f t="shared" ca="1" si="0"/>
        <v>0.61037058033417624</v>
      </c>
      <c r="G51" s="62" t="str">
        <f ca="1">IF(F51&gt;I5,"Buy","Sell")</f>
        <v>Sell</v>
      </c>
    </row>
    <row r="52" spans="1:7">
      <c r="A52" s="92" t="s">
        <v>102</v>
      </c>
      <c r="B52" s="93">
        <f ca="1">IFERROR(__xludf.DUMMYFUNCTION("GOOGLEFINANCE(""aapl"")"),173.57)</f>
        <v>173.57</v>
      </c>
      <c r="C52" s="2">
        <f ca="1">IFERROR(__xludf.DUMMYFUNCTION("GOOGLEFINANCE(A52,""eps"")"),5.89)</f>
        <v>5.89</v>
      </c>
      <c r="D52" s="2">
        <v>8.1300000000000008</v>
      </c>
      <c r="E52" s="56">
        <f ca="1">(C52*(I1+(D52*I2))*I3)/I4</f>
        <v>88.114400000000018</v>
      </c>
      <c r="F52" s="57">
        <f t="shared" ca="1" si="0"/>
        <v>0.50765915768854075</v>
      </c>
      <c r="G52" s="62" t="str">
        <f ca="1">IF(F52&gt;I5,"Buy","Sell")</f>
        <v>Sell</v>
      </c>
    </row>
    <row r="53" spans="1:7">
      <c r="A53" s="92" t="s">
        <v>103</v>
      </c>
      <c r="B53" s="93">
        <f ca="1">IFERROR(__xludf.DUMMYFUNCTION("GOOGLEFINANCE(""ibm"")"),123.65)</f>
        <v>123.65</v>
      </c>
      <c r="C53" s="2">
        <f ca="1">IFERROR(__xludf.DUMMYFUNCTION("GOOGLEFINANCE(A53,""eps"")"),1.87)</f>
        <v>1.87</v>
      </c>
      <c r="D53" s="2">
        <v>6.67</v>
      </c>
      <c r="E53" s="56">
        <f ca="1">(C53*(I1+(D53*I2))*I3)/I4</f>
        <v>25.275676404494387</v>
      </c>
      <c r="F53" s="57">
        <f t="shared" ca="1" si="0"/>
        <v>0.20441307241807025</v>
      </c>
      <c r="G53" s="62" t="str">
        <f ca="1">IF(F53&gt;I5,"Buy","Sell")</f>
        <v>Sell</v>
      </c>
    </row>
    <row r="54" spans="1:7">
      <c r="A54" s="94" t="s">
        <v>104</v>
      </c>
      <c r="B54" s="95">
        <f ca="1">IFERROR(__xludf.DUMMYFUNCTION("GOOGLEFINANCE(""jnj"")"),162.68)</f>
        <v>162.68</v>
      </c>
      <c r="C54" s="2">
        <f ca="1">IFERROR(__xludf.DUMMYFUNCTION("GOOGLEFINANCE(A54,""eps"")"),4.78)</f>
        <v>4.78</v>
      </c>
      <c r="D54" s="2">
        <v>3.89</v>
      </c>
      <c r="E54" s="56">
        <f ca="1">(C54*(I1+(D54*I2))*I3)/I4</f>
        <v>51.469321348314615</v>
      </c>
      <c r="F54" s="57">
        <f t="shared" ca="1" si="0"/>
        <v>0.31638382928641884</v>
      </c>
      <c r="G54" s="62" t="str">
        <f ca="1">IF(F54&gt;I5,"Buy","Sell")</f>
        <v>Sell</v>
      </c>
    </row>
    <row r="55" spans="1:7">
      <c r="A55" s="96" t="s">
        <v>105</v>
      </c>
      <c r="B55" s="95">
        <f ca="1">IFERROR(__xludf.DUMMYFUNCTION("GOOGLEFINANCE(""pfe"")"),38.49)</f>
        <v>38.49</v>
      </c>
      <c r="C55" s="2">
        <f ca="1">IFERROR(__xludf.DUMMYFUNCTION("GOOGLEFINANCE(A55,""eps"")"),5.08)</f>
        <v>5.08</v>
      </c>
      <c r="D55" s="2">
        <v>-5.45</v>
      </c>
      <c r="E55" s="56">
        <f ca="1">(C55*(I1+(D55*I2))*I3)/I4</f>
        <v>7.7855280898876389</v>
      </c>
      <c r="F55" s="57">
        <f t="shared" ca="1" si="0"/>
        <v>0.20227404754189759</v>
      </c>
      <c r="G55" s="62" t="str">
        <f ca="1">IF(F55&gt;I5,"Buy","Sell")</f>
        <v>Sell</v>
      </c>
    </row>
    <row r="56" spans="1:7">
      <c r="A56" s="96" t="s">
        <v>106</v>
      </c>
      <c r="B56" s="95">
        <f ca="1">IFERROR(__xludf.DUMMYFUNCTION("GOOGLEFINANCE(""abbv"")"),148.03)</f>
        <v>148.03</v>
      </c>
      <c r="C56" s="2">
        <f ca="1">IFERROR(__xludf.DUMMYFUNCTION("GOOGLEFINANCE(A56,""eps"")"),4.24)</f>
        <v>4.24</v>
      </c>
      <c r="D56" s="2">
        <v>-2.92</v>
      </c>
      <c r="E56" s="56">
        <f ca="1">(C56*(I1+(D56*I2))*I3)/I4</f>
        <v>17.104826966292141</v>
      </c>
      <c r="F56" s="57">
        <f t="shared" ca="1" si="0"/>
        <v>0.1155497329344872</v>
      </c>
      <c r="G56" s="62" t="str">
        <f ca="1">IF(F56&gt;I5,"Buy","Sell")</f>
        <v>Sell</v>
      </c>
    </row>
    <row r="57" spans="1:7">
      <c r="A57" s="97" t="s">
        <v>107</v>
      </c>
      <c r="B57" s="98">
        <f ca="1">IFERROR(__xludf.DUMMYFUNCTION("GOOGLEFINANCE(""vz"")"),37.83)</f>
        <v>37.83</v>
      </c>
      <c r="C57" s="2">
        <f ca="1">IFERROR(__xludf.DUMMYFUNCTION("GOOGLEFINANCE(A57,""eps"")"),5.13)</f>
        <v>5.13</v>
      </c>
      <c r="D57" s="2">
        <v>0.82</v>
      </c>
      <c r="E57" s="56">
        <f ca="1">(C57*(I1+(D57*I2))*I3)/I4</f>
        <v>39.665851685393264</v>
      </c>
      <c r="F57" s="57">
        <f t="shared" ca="1" si="0"/>
        <v>1.0485289898332875</v>
      </c>
      <c r="G57" s="62" t="str">
        <f ca="1">IF(F57&gt;I5,"Buy","Sell")</f>
        <v>Buy</v>
      </c>
    </row>
    <row r="58" spans="1:7">
      <c r="A58" s="99" t="s">
        <v>108</v>
      </c>
      <c r="B58" s="98">
        <f ca="1">IFERROR(__xludf.DUMMYFUNCTION("GOOGLEFINANCE(""t"")"),17.13)</f>
        <v>17.13</v>
      </c>
      <c r="C58" s="2">
        <f ca="1">IFERROR(__xludf.DUMMYFUNCTION("GOOGLEFINANCE(A58,""eps"")"),-1.36)</f>
        <v>-1.36</v>
      </c>
      <c r="D58" s="2">
        <v>0.76</v>
      </c>
      <c r="E58" s="56">
        <f ca="1">(C58*(I1+(D58*I2))*I3)/I4</f>
        <v>-10.435020224719102</v>
      </c>
      <c r="F58" s="57">
        <f t="shared" ca="1" si="0"/>
        <v>-0.60916638789953892</v>
      </c>
      <c r="G58" s="62" t="str">
        <f ca="1">IF(F58&gt;I5,"Buy","Sell")</f>
        <v>Sell</v>
      </c>
    </row>
    <row r="59" spans="1:7">
      <c r="A59" s="100" t="s">
        <v>109</v>
      </c>
      <c r="B59" s="101">
        <f ca="1">IFERROR(__xludf.DUMMYFUNCTION("GOOGLEFINANCE(""so"")"),74.94)</f>
        <v>74.94</v>
      </c>
      <c r="C59" s="2">
        <f ca="1">IFERROR(__xludf.DUMMYFUNCTION("GOOGLEFINANCE(A59,""eps"")"),3.09)</f>
        <v>3.09</v>
      </c>
      <c r="D59" s="2">
        <v>6.48</v>
      </c>
      <c r="E59" s="56">
        <f ca="1">(C59*(I1+(D59*I2))*I3)/I4</f>
        <v>41.185186516853932</v>
      </c>
      <c r="F59" s="57">
        <f t="shared" ca="1" si="0"/>
        <v>0.54957548060920647</v>
      </c>
      <c r="G59" s="62" t="str">
        <f ca="1">IF(F59&gt;I5,"Buy","Sell")</f>
        <v>Sell</v>
      </c>
    </row>
    <row r="60" spans="1:7">
      <c r="A60" s="100" t="s">
        <v>110</v>
      </c>
      <c r="B60" s="101">
        <f ca="1">IFERROR(__xludf.DUMMYFUNCTION("GOOGLEFINANCE(""DUK"")"),99.36)</f>
        <v>99.36</v>
      </c>
      <c r="C60" s="2">
        <f ca="1">IFERROR(__xludf.DUMMYFUNCTION("GOOGLEFINANCE(A60,""eps"")"),4.89)</f>
        <v>4.8899999999999997</v>
      </c>
      <c r="D60" s="2">
        <v>5.45</v>
      </c>
      <c r="E60" s="56">
        <f ca="1">(C60*(I1+(D60*I2))*I3)/I4</f>
        <v>60.196449438202237</v>
      </c>
      <c r="F60" s="57">
        <f t="shared" ca="1" si="0"/>
        <v>0.6058418824295716</v>
      </c>
      <c r="G60" s="62" t="str">
        <f ca="1">IF(F60&gt;I5,"Buy","Sell")</f>
        <v>Sell</v>
      </c>
    </row>
    <row r="61" spans="1:7">
      <c r="A61" s="100" t="s">
        <v>111</v>
      </c>
      <c r="B61" s="101">
        <f ca="1">IFERROR(__xludf.DUMMYFUNCTION("GOOGLEFINANCE(""EIX"")"),73.56)</f>
        <v>73.56</v>
      </c>
      <c r="C61" s="2">
        <f ca="1">IFERROR(__xludf.DUMMYFUNCTION("GOOGLEFINANCE(A61,""eps"")"),2.18)</f>
        <v>2.1800000000000002</v>
      </c>
      <c r="D61" s="2">
        <v>3.92</v>
      </c>
      <c r="E61" s="56">
        <f ca="1">(C61*(I1+(D61*I2))*I3)/I4</f>
        <v>23.538121348314611</v>
      </c>
      <c r="F61" s="57">
        <f t="shared" ca="1" si="0"/>
        <v>0.31998533643712085</v>
      </c>
      <c r="G61" s="62" t="str">
        <f ca="1">IF(F61&gt;I5,"Buy","Sell")</f>
        <v>Sell</v>
      </c>
    </row>
    <row r="62" spans="1:7">
      <c r="A62" s="100" t="s">
        <v>112</v>
      </c>
      <c r="B62" s="101">
        <f ca="1">IFERROR(__xludf.DUMMYFUNCTION("GOOGLEFINANCE(""awr"")"),90.88)</f>
        <v>90.88</v>
      </c>
      <c r="C62" s="2">
        <f ca="1">IFERROR(__xludf.DUMMYFUNCTION("GOOGLEFINANCE(A62,""eps"")"),2.11)</f>
        <v>2.11</v>
      </c>
      <c r="D62" s="2">
        <v>4.4000000000000004</v>
      </c>
      <c r="E62" s="56">
        <f ca="1">(C62*(I1+(D62*I2))*I3)/I4</f>
        <v>23.783730337078651</v>
      </c>
      <c r="F62" s="57">
        <f t="shared" ca="1" si="0"/>
        <v>0.26170477923722107</v>
      </c>
      <c r="G62" s="62" t="str">
        <f ca="1">IF(F62&gt;I5,"Buy","Sell")</f>
        <v>Sell</v>
      </c>
    </row>
    <row r="63" spans="1:7">
      <c r="A63" s="100" t="s">
        <v>113</v>
      </c>
      <c r="B63" s="101">
        <f ca="1">IFERROR(__xludf.DUMMYFUNCTION("GOOGLEFINANCE(""NWN"")"),47.05)</f>
        <v>47.05</v>
      </c>
      <c r="C63" s="2">
        <f ca="1">IFERROR(__xludf.DUMMYFUNCTION("GOOGLEFINANCE(A63,""eps"")"),2.54)</f>
        <v>2.54</v>
      </c>
      <c r="D63" s="2">
        <v>4.3</v>
      </c>
      <c r="E63" s="56">
        <f ca="1">(C63*(I1+(D63*I2))*I3)/I4</f>
        <v>28.379505617977532</v>
      </c>
      <c r="F63" s="57">
        <f t="shared" ca="1" si="0"/>
        <v>0.60317759018018136</v>
      </c>
      <c r="G63" s="62" t="str">
        <f ca="1">IF(F63&gt;I5,"Buy","Sell")</f>
        <v>Sell</v>
      </c>
    </row>
    <row r="64" spans="1:7">
      <c r="A64" s="102" t="s">
        <v>114</v>
      </c>
      <c r="B64" s="103">
        <f ca="1">IFERROR(__xludf.DUMMYFUNCTION("GOOGLEFINANCE(""APD"")"),296.7)</f>
        <v>296.7</v>
      </c>
      <c r="C64" s="37">
        <f ca="1">IFERROR(__xludf.DUMMYFUNCTION("GOOGLEFINANCE(A64,""eps"")"),10.19)</f>
        <v>10.19</v>
      </c>
      <c r="D64" s="37">
        <v>8.7899999999999991</v>
      </c>
      <c r="E64" s="104">
        <f ca="1">(C64*(I1+(D64*I2))*I3)/I4</f>
        <v>159.09223370786515</v>
      </c>
      <c r="F64" s="105">
        <f t="shared" ca="1" si="0"/>
        <v>0.53620570848623239</v>
      </c>
      <c r="G64" s="106" t="str">
        <f ca="1">IF(F64&gt;I5,"Buy","Sell")</f>
        <v>Sell</v>
      </c>
    </row>
  </sheetData>
  <conditionalFormatting sqref="G3:G64">
    <cfRule type="containsText" dxfId="16" priority="1" operator="containsText" text="Buy">
      <formula>NOT(ISERROR(SEARCH(("Buy"),(G3))))</formula>
    </cfRule>
  </conditionalFormatting>
  <conditionalFormatting sqref="G3:G64">
    <cfRule type="containsText" dxfId="15" priority="2" operator="containsText" text="Sell">
      <formula>NOT(ISERROR(SEARCH(("Sell"),(G3))))</formula>
    </cfRule>
  </conditionalFormatting>
  <conditionalFormatting sqref="G3:G64">
    <cfRule type="containsText" dxfId="14" priority="3" operator="containsText" text="X">
      <formula>NOT(ISERROR(SEARCH(("X"),(G3))))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96"/>
  <sheetViews>
    <sheetView workbookViewId="0"/>
  </sheetViews>
  <sheetFormatPr defaultColWidth="12.5703125" defaultRowHeight="15.75" customHeight="1"/>
  <sheetData>
    <row r="1" spans="1:17" ht="12.75">
      <c r="B1" s="107" t="s">
        <v>115</v>
      </c>
      <c r="C1" s="107" t="s">
        <v>116</v>
      </c>
    </row>
    <row r="2" spans="1:17" ht="15.75" customHeight="1">
      <c r="A2" s="108" t="str">
        <f>Divident_all!B3</f>
        <v>AMD</v>
      </c>
      <c r="B2" s="109">
        <f>PRODUCT(('2022'!F37),100)/Q_investment!G3</f>
        <v>2.5963808025177024</v>
      </c>
      <c r="C2" s="110">
        <f>PRODUCT(('2023'!F39),100)/Q_investment!L3</f>
        <v>6.45</v>
      </c>
    </row>
    <row r="3" spans="1:17" ht="15.75" customHeight="1">
      <c r="A3" s="111" t="e">
        <f>Divident_all!#REF!</f>
        <v>#REF!</v>
      </c>
      <c r="B3" s="112" t="e">
        <f>PRODUCT(('2022'!F38),100)/Q_investment!#REF!</f>
        <v>#REF!</v>
      </c>
      <c r="C3" s="113" t="e">
        <f>PRODUCT(('2023'!F40),100)/Q_investment!#REF!</f>
        <v>#REF!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</row>
    <row r="4" spans="1:17" ht="15.75" customHeight="1">
      <c r="A4" s="115" t="e">
        <f>Divident_all!#REF!</f>
        <v>#REF!</v>
      </c>
      <c r="B4" s="112" t="e">
        <f>PRODUCT(('2022'!F39),100)/Q_investment!#REF!</f>
        <v>#REF!</v>
      </c>
      <c r="C4" s="113" t="e">
        <f>PRODUCT(('2023'!F41),100)/Q_investment!#REF!</f>
        <v>#REF!</v>
      </c>
    </row>
    <row r="5" spans="1:17" ht="15.75" customHeight="1">
      <c r="A5" s="111" t="e">
        <f>Divident_all!#REF!</f>
        <v>#REF!</v>
      </c>
      <c r="B5" s="112" t="e">
        <f>PRODUCT(('2022'!F40),100)/Q_investment!#REF!</f>
        <v>#REF!</v>
      </c>
      <c r="C5" s="113" t="e">
        <f>PRODUCT(('2023'!F42),100)/Q_investment!#REF!</f>
        <v>#REF!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</row>
    <row r="6" spans="1:17" ht="15.75" customHeight="1">
      <c r="A6" s="115" t="e">
        <f>Divident_all!#REF!</f>
        <v>#REF!</v>
      </c>
      <c r="B6" s="112" t="e">
        <f>PRODUCT(('2022'!F41),100)/Q_investment!#REF!</f>
        <v>#REF!</v>
      </c>
      <c r="C6" s="113" t="e">
        <f>PRODUCT(('2023'!F43),100)/Q_investment!#REF!</f>
        <v>#REF!</v>
      </c>
    </row>
    <row r="7" spans="1:17" ht="15.75" customHeight="1">
      <c r="A7" s="111" t="e">
        <f>Divident_all!#REF!</f>
        <v>#REF!</v>
      </c>
      <c r="B7" s="112" t="e">
        <f>PRODUCT(('2022'!F42),100)/Q_investment!#REF!</f>
        <v>#REF!</v>
      </c>
      <c r="C7" s="113" t="e">
        <f>PRODUCT(('2023'!F44),100)/Q_investment!#REF!</f>
        <v>#REF!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</row>
    <row r="8" spans="1:17" ht="15.75" customHeight="1">
      <c r="A8" s="115" t="e">
        <f>Divident_all!#REF!</f>
        <v>#REF!</v>
      </c>
      <c r="B8" s="112" t="e">
        <f>PRODUCT(('2022'!F43),100)/Q_investment!#REF!</f>
        <v>#REF!</v>
      </c>
      <c r="C8" s="113" t="e">
        <f>PRODUCT(('2023'!F45),100)/Q_investment!#REF!</f>
        <v>#REF!</v>
      </c>
    </row>
    <row r="9" spans="1:17" ht="15.75" customHeight="1">
      <c r="A9" s="111" t="e">
        <f>Divident_all!#REF!</f>
        <v>#REF!</v>
      </c>
      <c r="B9" s="112" t="e">
        <f>PRODUCT(('2022'!F44),100)/Q_investment!#REF!</f>
        <v>#REF!</v>
      </c>
      <c r="C9" s="113" t="e">
        <f>PRODUCT(('2023'!F46),100)/Q_investment!#REF!</f>
        <v>#REF!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</row>
    <row r="10" spans="1:17" ht="15.75" customHeight="1">
      <c r="A10" s="115" t="e">
        <f>Divident_all!#REF!</f>
        <v>#REF!</v>
      </c>
      <c r="B10" s="112" t="e">
        <f>PRODUCT(('2022'!F45),100)/Q_investment!#REF!</f>
        <v>#REF!</v>
      </c>
      <c r="C10" s="113" t="e">
        <f ca="1">PRODUCT(('2023'!F4),100)/Q_investment!#REF!</f>
        <v>#REF!</v>
      </c>
    </row>
    <row r="11" spans="1:17" ht="15.75" customHeight="1">
      <c r="A11" s="111" t="e">
        <f>Divident_all!#REF!</f>
        <v>#REF!</v>
      </c>
      <c r="B11" s="112" t="e">
        <f>PRODUCT(('2022'!F46),100)/Q_investment!#REF!</f>
        <v>#REF!</v>
      </c>
      <c r="C11" s="113" t="e">
        <f>PRODUCT(('2023'!F48),100)/Q_investment!#REF!</f>
        <v>#REF!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</row>
    <row r="12" spans="1:17" ht="15.75" customHeight="1">
      <c r="A12" s="115" t="e">
        <f>Divident_all!#REF!</f>
        <v>#REF!</v>
      </c>
      <c r="B12" s="112" t="e">
        <f>PRODUCT(('2022'!F47),100)/Q_investment!#REF!</f>
        <v>#REF!</v>
      </c>
      <c r="C12" s="113" t="e">
        <f>PRODUCT(('2023'!F49),100)/Q_investment!#REF!</f>
        <v>#REF!</v>
      </c>
    </row>
    <row r="13" spans="1:17" ht="15.75" customHeight="1">
      <c r="A13" s="111" t="e">
        <f>Divident_all!#REF!</f>
        <v>#REF!</v>
      </c>
      <c r="B13" s="112" t="e">
        <f>PRODUCT(('2022'!F48),100)/Q_investment!#REF!</f>
        <v>#REF!</v>
      </c>
      <c r="C13" s="113" t="e">
        <f>PRODUCT(('2023'!F50),100)/Q_investment!#REF!</f>
        <v>#REF!</v>
      </c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</row>
    <row r="14" spans="1:17" ht="15.75" customHeight="1">
      <c r="A14" s="115" t="e">
        <f>Divident_all!#REF!</f>
        <v>#REF!</v>
      </c>
      <c r="B14" s="112" t="e">
        <f>PRODUCT(('2022'!F49),100)/Q_investment!#REF!</f>
        <v>#REF!</v>
      </c>
      <c r="C14" s="113" t="e">
        <f>PRODUCT(('2023'!F51),100)/Q_investment!#REF!</f>
        <v>#REF!</v>
      </c>
    </row>
    <row r="15" spans="1:17" ht="15.75" customHeight="1">
      <c r="A15" s="111" t="e">
        <f>Divident_all!#REF!</f>
        <v>#REF!</v>
      </c>
      <c r="B15" s="112" t="e">
        <f>PRODUCT(('2022'!F50),100)/Q_investment!#REF!</f>
        <v>#REF!</v>
      </c>
      <c r="C15" s="113" t="e">
        <f>PRODUCT(('2023'!F52),100)/Q_investment!#REF!</f>
        <v>#REF!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</row>
    <row r="16" spans="1:17" ht="15.75" customHeight="1">
      <c r="A16" s="115" t="e">
        <f>Divident_all!#REF!</f>
        <v>#REF!</v>
      </c>
      <c r="B16" s="112" t="e">
        <f>PRODUCT(('2022'!F51),100)/Q_investment!#REF!</f>
        <v>#REF!</v>
      </c>
      <c r="C16" s="113" t="e">
        <f>PRODUCT(('2023'!F53),100)/Q_investment!#REF!</f>
        <v>#REF!</v>
      </c>
    </row>
    <row r="17" spans="1:17" ht="15.75" customHeight="1">
      <c r="A17" s="111" t="e">
        <f>Divident_all!#REF!</f>
        <v>#REF!</v>
      </c>
      <c r="B17" s="112" t="e">
        <f>PRODUCT(('2022'!F52),100)/Q_investment!#REF!</f>
        <v>#REF!</v>
      </c>
      <c r="C17" s="113" t="e">
        <f>PRODUCT(('2023'!F54),100)/Q_investment!#REF!</f>
        <v>#REF!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</row>
    <row r="18" spans="1:17" ht="15.75" customHeight="1">
      <c r="A18" s="115" t="e">
        <f>Divident_all!#REF!</f>
        <v>#REF!</v>
      </c>
      <c r="B18" s="112" t="e">
        <f>PRODUCT(('2022'!F53),100)/Q_investment!#REF!</f>
        <v>#REF!</v>
      </c>
      <c r="C18" s="113" t="e">
        <f>PRODUCT(('2023'!F55),100)/Q_investment!#REF!</f>
        <v>#REF!</v>
      </c>
    </row>
    <row r="19" spans="1:17" ht="15.75" customHeight="1">
      <c r="A19" s="111" t="e">
        <f>Divident_all!#REF!</f>
        <v>#REF!</v>
      </c>
      <c r="B19" s="112" t="e">
        <f>PRODUCT(('2022'!F54),100)/Q_investment!#REF!</f>
        <v>#REF!</v>
      </c>
      <c r="C19" s="113" t="e">
        <f>PRODUCT(('2023'!F56),100)/Q_investment!#REF!</f>
        <v>#REF!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</row>
    <row r="20" spans="1:17" ht="15.75" customHeight="1">
      <c r="A20" s="115" t="e">
        <f>Divident_all!#REF!</f>
        <v>#REF!</v>
      </c>
      <c r="B20" s="112" t="e">
        <f>PRODUCT(('2022'!F55),100)/Q_investment!#REF!</f>
        <v>#REF!</v>
      </c>
      <c r="C20" s="113" t="e">
        <f>PRODUCT(('2023'!F57),100)/Q_investment!#REF!</f>
        <v>#REF!</v>
      </c>
    </row>
    <row r="21" spans="1:17" ht="15.75" customHeight="1">
      <c r="A21" s="111" t="e">
        <f>Divident_all!#REF!</f>
        <v>#REF!</v>
      </c>
      <c r="B21" s="112" t="e">
        <f>PRODUCT(('2022'!F56),100)/Q_investment!#REF!</f>
        <v>#REF!</v>
      </c>
      <c r="C21" s="113" t="e">
        <f>PRODUCT(('2023'!F58),100)/Q_investment!#REF!</f>
        <v>#REF!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</row>
    <row r="22" spans="1:17" ht="15.75" customHeight="1">
      <c r="A22" s="115" t="e">
        <f>Divident_all!#REF!</f>
        <v>#REF!</v>
      </c>
      <c r="B22" s="112" t="e">
        <f>PRODUCT(('2022'!F57),100)/Q_investment!#REF!</f>
        <v>#REF!</v>
      </c>
      <c r="C22" s="113" t="e">
        <f>PRODUCT(('2023'!F59),100)/Q_investment!#REF!</f>
        <v>#REF!</v>
      </c>
    </row>
    <row r="23" spans="1:17" ht="17.25">
      <c r="A23" s="111" t="e">
        <f>Divident_all!#REF!</f>
        <v>#REF!</v>
      </c>
      <c r="B23" s="112" t="e">
        <f>PRODUCT(('2022'!F58),100)/Q_investment!#REF!</f>
        <v>#REF!</v>
      </c>
      <c r="C23" s="113" t="e">
        <f>PRODUCT(('2023'!F60),100)/Q_investment!#REF!</f>
        <v>#REF!</v>
      </c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17" ht="17.25">
      <c r="A24" s="115" t="e">
        <f>Divident_all!#REF!</f>
        <v>#REF!</v>
      </c>
      <c r="B24" s="112" t="e">
        <f>PRODUCT(('2022'!F59),100)/Q_investment!#REF!</f>
        <v>#REF!</v>
      </c>
      <c r="C24" s="113" t="e">
        <f>PRODUCT(('2023'!F61),100)/Q_investment!#REF!</f>
        <v>#REF!</v>
      </c>
    </row>
    <row r="25" spans="1:17" ht="17.25">
      <c r="A25" s="111" t="e">
        <f>Divident_all!#REF!</f>
        <v>#REF!</v>
      </c>
      <c r="B25" s="112" t="e">
        <f>PRODUCT(('2022'!F60),100)/Q_investment!#REF!</f>
        <v>#REF!</v>
      </c>
      <c r="C25" s="113" t="e">
        <f>PRODUCT(('2023'!F62),100)/Q_investment!#REF!</f>
        <v>#REF!</v>
      </c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</row>
    <row r="26" spans="1:17" ht="17.25">
      <c r="A26" s="115" t="e">
        <f>Divident_all!#REF!</f>
        <v>#REF!</v>
      </c>
      <c r="B26" s="112">
        <v>0</v>
      </c>
      <c r="C26" s="113" t="e">
        <f>PRODUCT(('2023'!F63),100)/Q_investment!#REF!</f>
        <v>#REF!</v>
      </c>
    </row>
    <row r="27" spans="1:17" ht="17.25">
      <c r="A27" s="111" t="e">
        <f>Divident_all!#REF!</f>
        <v>#REF!</v>
      </c>
      <c r="B27" s="112" t="e">
        <f>PRODUCT(('2022'!F62),100)/Q_investment!#REF!</f>
        <v>#REF!</v>
      </c>
      <c r="C27" s="113" t="e">
        <f>PRODUCT(('2023'!F64),100)/Q_investment!#REF!</f>
        <v>#REF!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</row>
    <row r="28" spans="1:17" ht="17.25">
      <c r="A28" s="115" t="e">
        <f>Divident_all!#REF!</f>
        <v>#REF!</v>
      </c>
      <c r="B28" s="112" t="e">
        <f>PRODUCT(('2022'!F63),100)/Q_investment!#REF!</f>
        <v>#REF!</v>
      </c>
      <c r="C28" s="113" t="e">
        <f>PRODUCT(('2023'!F65),100)/Q_investment!#REF!</f>
        <v>#REF!</v>
      </c>
    </row>
    <row r="29" spans="1:17" ht="17.25">
      <c r="A29" s="111" t="e">
        <f>Divident_all!#REF!</f>
        <v>#REF!</v>
      </c>
      <c r="B29" s="112" t="e">
        <f>PRODUCT(('2022'!F64),100)/Q_investment!#REF!</f>
        <v>#REF!</v>
      </c>
      <c r="C29" s="113" t="e">
        <f>PRODUCT(('2023'!F66),100)/Q_investment!#REF!</f>
        <v>#REF!</v>
      </c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</row>
    <row r="30" spans="1:17" ht="17.25">
      <c r="A30" s="115" t="e">
        <f>Divident_all!#REF!</f>
        <v>#REF!</v>
      </c>
      <c r="B30" s="112" t="e">
        <f>PRODUCT(('2022'!F65),100)/Q_investment!#REF!</f>
        <v>#REF!</v>
      </c>
      <c r="C30" s="113" t="e">
        <f>PRODUCT(('2023'!F67),100)/Q_investment!#REF!</f>
        <v>#REF!</v>
      </c>
    </row>
    <row r="31" spans="1:17" ht="17.25">
      <c r="A31" s="111" t="e">
        <f>Divident_all!#REF!</f>
        <v>#REF!</v>
      </c>
      <c r="B31" s="112" t="e">
        <f>PRODUCT(('2022'!F66),100)/Q_investment!#REF!</f>
        <v>#REF!</v>
      </c>
      <c r="C31" s="113" t="e">
        <f>PRODUCT(('2023'!F68),100)/Q_investment!#REF!</f>
        <v>#REF!</v>
      </c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</row>
    <row r="32" spans="1:17" ht="17.25">
      <c r="A32" s="111" t="e">
        <f>Divident_all!#REF!</f>
        <v>#REF!</v>
      </c>
      <c r="B32" s="112" t="e">
        <f>PRODUCT(('2022'!F67),100)/Q_investment!#REF!</f>
        <v>#REF!</v>
      </c>
      <c r="C32" s="113" t="e">
        <f>PRODUCT(('2023'!F69),100)/Q_investment!#REF!</f>
        <v>#REF!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</row>
    <row r="33" spans="1:17" ht="17.25">
      <c r="A33" s="115" t="e">
        <f>Divident_all!#REF!</f>
        <v>#REF!</v>
      </c>
      <c r="B33" s="112" t="e">
        <f>PRODUCT(('2022'!F68),100)/Q_investment!#REF!</f>
        <v>#REF!</v>
      </c>
      <c r="C33" s="113" t="e">
        <f>PRODUCT(('2023'!F70),100)/Q_investment!#REF!</f>
        <v>#REF!</v>
      </c>
    </row>
    <row r="34" spans="1:17" ht="17.25">
      <c r="A34" s="111" t="e">
        <f>Divident_all!#REF!</f>
        <v>#REF!</v>
      </c>
      <c r="B34" s="112" t="e">
        <f>PRODUCT(('2022'!F69),100)/Q_investment!#REF!</f>
        <v>#REF!</v>
      </c>
      <c r="C34" s="113" t="e">
        <f>PRODUCT(('2023'!F71),100)/Q_investment!#REF!</f>
        <v>#REF!</v>
      </c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</row>
    <row r="35" spans="1:17" ht="17.25">
      <c r="A35" s="111" t="e">
        <f>Divident_all!#REF!</f>
        <v>#REF!</v>
      </c>
      <c r="B35" s="112" t="e">
        <f>PRODUCT(('2022'!F70),100)/Q_investment!#REF!</f>
        <v>#REF!</v>
      </c>
      <c r="C35" s="113" t="e">
        <f>PRODUCT(('2023'!F72),100)/Q_investment!#REF!</f>
        <v>#REF!</v>
      </c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</row>
    <row r="36" spans="1:17" ht="17.25">
      <c r="A36" s="115" t="e">
        <f>Divident_all!#REF!</f>
        <v>#REF!</v>
      </c>
      <c r="B36" s="112" t="e">
        <f>PRODUCT(('2022'!F71),100)/Q_investment!#REF!</f>
        <v>#REF!</v>
      </c>
      <c r="C36" s="113" t="e">
        <f>PRODUCT(('2023'!F73),100)/Q_investment!#REF!</f>
        <v>#REF!</v>
      </c>
    </row>
    <row r="37" spans="1:17" ht="17.25">
      <c r="A37" s="111" t="e">
        <f>Divident_all!#REF!</f>
        <v>#REF!</v>
      </c>
      <c r="B37" s="112" t="e">
        <f>PRODUCT(('2022'!F72),100)/Q_investment!#REF!</f>
        <v>#REF!</v>
      </c>
      <c r="C37" s="113" t="e">
        <f>PRODUCT(('2023'!F74),100)/Q_investment!#REF!</f>
        <v>#REF!</v>
      </c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</row>
    <row r="38" spans="1:17" ht="17.25">
      <c r="A38" s="115" t="e">
        <f>Divident_all!#REF!</f>
        <v>#REF!</v>
      </c>
      <c r="B38" s="112" t="e">
        <f>PRODUCT(('2022'!F73),100)/Q_investment!#REF!</f>
        <v>#REF!</v>
      </c>
      <c r="C38" s="113" t="e">
        <f>PRODUCT(('2023'!F75),100)/Q_investment!#REF!</f>
        <v>#REF!</v>
      </c>
    </row>
    <row r="39" spans="1:17" ht="17.25">
      <c r="A39" s="111" t="e">
        <f>Divident_all!#REF!</f>
        <v>#REF!</v>
      </c>
      <c r="B39" s="112" t="e">
        <f>PRODUCT(('2022'!F74),100)/Q_investment!#REF!</f>
        <v>#REF!</v>
      </c>
      <c r="C39" s="113" t="e">
        <f>PRODUCT(('2023'!F76),100)/Q_investment!#REF!</f>
        <v>#REF!</v>
      </c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</row>
    <row r="40" spans="1:17" ht="17.25">
      <c r="A40" s="115" t="e">
        <f>Divident_all!#REF!</f>
        <v>#REF!</v>
      </c>
      <c r="B40" s="112" t="e">
        <f>PRODUCT(('2022'!F75),100)/Q_investment!#REF!</f>
        <v>#REF!</v>
      </c>
      <c r="C40" s="113" t="e">
        <f>PRODUCT(('2023'!F77),100)/Q_investment!#REF!</f>
        <v>#REF!</v>
      </c>
    </row>
    <row r="41" spans="1:17" ht="17.25">
      <c r="A41" s="111" t="e">
        <f>Divident_all!#REF!</f>
        <v>#REF!</v>
      </c>
      <c r="B41" s="112" t="e">
        <f>PRODUCT(('2022'!F76),100)/Q_investment!#REF!</f>
        <v>#REF!</v>
      </c>
      <c r="C41" s="113" t="e">
        <f>PRODUCT(('2023'!F78),100)/Q_investment!#REF!</f>
        <v>#REF!</v>
      </c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</row>
    <row r="42" spans="1:17" ht="17.25">
      <c r="A42" s="115" t="e">
        <f>Divident_all!#REF!</f>
        <v>#REF!</v>
      </c>
      <c r="B42" s="112" t="e">
        <f>PRODUCT(('2022'!F77),100)/Q_investment!#REF!</f>
        <v>#REF!</v>
      </c>
      <c r="C42" s="113" t="e">
        <f>PRODUCT(('2023'!F79),100)/Q_investment!#REF!</f>
        <v>#REF!</v>
      </c>
    </row>
    <row r="43" spans="1:17" ht="17.25">
      <c r="A43" s="111" t="e">
        <f>Divident_all!#REF!</f>
        <v>#REF!</v>
      </c>
      <c r="B43" s="112" t="e">
        <f>PRODUCT(('2022'!F78),100)/Q_investment!#REF!</f>
        <v>#REF!</v>
      </c>
      <c r="C43" s="113" t="e">
        <f>PRODUCT(('2023'!F80),100)/Q_investment!#REF!</f>
        <v>#REF!</v>
      </c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</row>
    <row r="44" spans="1:17" ht="17.25">
      <c r="A44" s="115" t="e">
        <f>Divident_all!#REF!</f>
        <v>#REF!</v>
      </c>
      <c r="B44" s="112" t="e">
        <f>PRODUCT(('2022'!F79),100)/Q_investment!#REF!</f>
        <v>#REF!</v>
      </c>
      <c r="C44" s="113" t="e">
        <f>PRODUCT(('2023'!F81),100)/Q_investment!#REF!</f>
        <v>#REF!</v>
      </c>
    </row>
    <row r="45" spans="1:17" ht="17.25">
      <c r="A45" s="111" t="e">
        <f>Divident_all!#REF!</f>
        <v>#REF!</v>
      </c>
      <c r="B45" s="112" t="e">
        <f>PRODUCT(('2022'!F80),100)/Q_investment!#REF!</f>
        <v>#REF!</v>
      </c>
      <c r="C45" s="113" t="e">
        <f>PRODUCT(('2023'!F82),100)/Q_investment!#REF!</f>
        <v>#REF!</v>
      </c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</row>
    <row r="46" spans="1:17" ht="17.25">
      <c r="A46" s="115" t="e">
        <f>Divident_all!#REF!</f>
        <v>#REF!</v>
      </c>
      <c r="B46" s="112" t="e">
        <f>PRODUCT(('2022'!F81),100)/Q_investment!#REF!</f>
        <v>#REF!</v>
      </c>
      <c r="C46" s="113" t="e">
        <f>PRODUCT(('2023'!F83),100)/Q_investment!#REF!</f>
        <v>#REF!</v>
      </c>
    </row>
    <row r="47" spans="1:17" ht="17.25">
      <c r="A47" s="111" t="e">
        <f>Divident_all!#REF!</f>
        <v>#REF!</v>
      </c>
      <c r="B47" s="112" t="e">
        <f>PRODUCT(('2022'!F82),100)/Q_investment!#REF!</f>
        <v>#REF!</v>
      </c>
      <c r="C47" s="113" t="e">
        <f>PRODUCT(('2023'!F84),100)/Q_investment!#REF!</f>
        <v>#REF!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</row>
    <row r="48" spans="1:17" ht="17.25">
      <c r="A48" s="115" t="e">
        <f>Divident_all!#REF!</f>
        <v>#REF!</v>
      </c>
      <c r="B48" s="112" t="e">
        <f>PRODUCT(('2022'!F83),100)/Q_investment!#REF!</f>
        <v>#REF!</v>
      </c>
      <c r="C48" s="113" t="e">
        <f>PRODUCT(('2023'!F85),100)/Q_investment!#REF!</f>
        <v>#REF!</v>
      </c>
    </row>
    <row r="49" spans="1:17" ht="17.25">
      <c r="A49" s="111" t="e">
        <f>Divident_all!#REF!</f>
        <v>#REF!</v>
      </c>
      <c r="B49" s="112" t="e">
        <f>PRODUCT(('2022'!F84),100)/Q_investment!#REF!</f>
        <v>#REF!</v>
      </c>
      <c r="C49" s="113" t="e">
        <f>PRODUCT(('2023'!F86),100)/Q_investment!#REF!</f>
        <v>#REF!</v>
      </c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</row>
    <row r="50" spans="1:17" ht="17.25">
      <c r="A50" s="115" t="e">
        <f>Divident_all!#REF!</f>
        <v>#REF!</v>
      </c>
      <c r="B50" s="112" t="e">
        <f>PRODUCT(('2022'!F85),100)/Q_investment!#REF!</f>
        <v>#REF!</v>
      </c>
      <c r="C50" s="113" t="e">
        <f>PRODUCT(('2023'!F87),100)/Q_investment!#REF!</f>
        <v>#REF!</v>
      </c>
    </row>
    <row r="51" spans="1:17" ht="17.25">
      <c r="A51" s="111" t="e">
        <f>Divident_all!#REF!</f>
        <v>#REF!</v>
      </c>
      <c r="B51" s="112" t="e">
        <f>PRODUCT(('2022'!F86),100)/Q_investment!#REF!</f>
        <v>#REF!</v>
      </c>
      <c r="C51" s="113" t="e">
        <f>PRODUCT(('2023'!F88),100)/Q_investment!#REF!</f>
        <v>#REF!</v>
      </c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</row>
    <row r="52" spans="1:17" ht="17.25">
      <c r="A52" s="115" t="e">
        <f>Divident_all!#REF!</f>
        <v>#REF!</v>
      </c>
      <c r="B52" s="112" t="e">
        <f>PRODUCT(('2022'!F87),100)/Q_investment!#REF!</f>
        <v>#REF!</v>
      </c>
      <c r="C52" s="113" t="e">
        <f>PRODUCT(('2023'!F89),100)/Q_investment!#REF!</f>
        <v>#REF!</v>
      </c>
    </row>
    <row r="53" spans="1:17" ht="17.25">
      <c r="A53" s="111" t="e">
        <f>Divident_all!#REF!</f>
        <v>#REF!</v>
      </c>
      <c r="B53" s="112" t="e">
        <f>PRODUCT(('2022'!F88),100)/Q_investment!#REF!</f>
        <v>#REF!</v>
      </c>
      <c r="C53" s="113" t="e">
        <f>PRODUCT(('2023'!F90),100)/Q_investment!#REF!</f>
        <v>#REF!</v>
      </c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</row>
    <row r="54" spans="1:17" ht="17.25">
      <c r="A54" s="115" t="e">
        <f>Divident_all!#REF!</f>
        <v>#REF!</v>
      </c>
      <c r="B54" s="112" t="e">
        <f>PRODUCT(('2022'!F89),100)/Q_investment!#REF!</f>
        <v>#REF!</v>
      </c>
      <c r="C54" s="113" t="e">
        <f>PRODUCT(('2023'!F91),100)/Q_investment!#REF!</f>
        <v>#REF!</v>
      </c>
    </row>
    <row r="55" spans="1:17" ht="17.25">
      <c r="A55" s="111" t="e">
        <f>Divident_all!#REF!</f>
        <v>#REF!</v>
      </c>
      <c r="B55" s="112" t="e">
        <f>PRODUCT(('2022'!F90),100)/Q_investment!#REF!</f>
        <v>#REF!</v>
      </c>
      <c r="C55" s="113" t="e">
        <f>PRODUCT(('2023'!F92),100)/Q_investment!#REF!</f>
        <v>#REF!</v>
      </c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</row>
    <row r="56" spans="1:17" ht="17.25">
      <c r="A56" s="115" t="e">
        <f>Divident_all!#REF!</f>
        <v>#REF!</v>
      </c>
      <c r="B56" s="112" t="e">
        <f>PRODUCT(('2022'!F91),100)/Q_investment!#REF!</f>
        <v>#REF!</v>
      </c>
      <c r="C56" s="113" t="e">
        <f>PRODUCT(('2023'!F93),100)/Q_investment!#REF!</f>
        <v>#REF!</v>
      </c>
    </row>
    <row r="57" spans="1:17" ht="17.25">
      <c r="A57" s="111" t="e">
        <f>Divident_all!#REF!</f>
        <v>#REF!</v>
      </c>
      <c r="B57" s="112" t="e">
        <f>PRODUCT(('2022'!F92),100)/Q_investment!#REF!</f>
        <v>#REF!</v>
      </c>
      <c r="C57" s="113" t="e">
        <f>PRODUCT(('2023'!F94),100)/Q_investment!#REF!</f>
        <v>#REF!</v>
      </c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</row>
    <row r="58" spans="1:17" ht="17.25">
      <c r="A58" s="115" t="e">
        <f>Divident_all!#REF!</f>
        <v>#REF!</v>
      </c>
      <c r="B58" s="112" t="e">
        <f>PRODUCT(('2022'!F93),100)/Q_investment!#REF!</f>
        <v>#REF!</v>
      </c>
      <c r="C58" s="113" t="e">
        <f>PRODUCT(('2023'!F95),100)/Q_investment!#REF!</f>
        <v>#REF!</v>
      </c>
    </row>
    <row r="59" spans="1:17" ht="17.25">
      <c r="A59" s="111" t="e">
        <f>Divident_all!#REF!</f>
        <v>#REF!</v>
      </c>
      <c r="B59" s="112" t="e">
        <f>PRODUCT(('2022'!F94),100)/Q_investment!#REF!</f>
        <v>#REF!</v>
      </c>
      <c r="C59" s="113" t="e">
        <f>PRODUCT(('2023'!F96),100)/Q_investment!#REF!</f>
        <v>#REF!</v>
      </c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</row>
    <row r="60" spans="1:17" ht="17.25">
      <c r="A60" s="115" t="e">
        <f>Divident_all!#REF!</f>
        <v>#REF!</v>
      </c>
      <c r="B60" s="112" t="e">
        <f>PRODUCT(('2022'!F95),100)/Q_investment!#REF!</f>
        <v>#REF!</v>
      </c>
      <c r="C60" s="113" t="e">
        <f>PRODUCT(('2023'!F97),100)/Q_investment!#REF!</f>
        <v>#REF!</v>
      </c>
    </row>
    <row r="61" spans="1:17" ht="17.25">
      <c r="A61" s="111" t="e">
        <f>Divident_all!#REF!</f>
        <v>#REF!</v>
      </c>
      <c r="B61" s="112" t="e">
        <f>PRODUCT(('2022'!F96),100)/Q_investment!#REF!</f>
        <v>#REF!</v>
      </c>
      <c r="C61" s="113" t="e">
        <f>PRODUCT(('2023'!F98),100)/Q_investment!#REF!</f>
        <v>#REF!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</row>
    <row r="62" spans="1:17" ht="17.25">
      <c r="A62" s="115" t="e">
        <f>Divident_all!#REF!</f>
        <v>#REF!</v>
      </c>
      <c r="B62" s="112" t="e">
        <f>PRODUCT(('2022'!F97),100)/Q_investment!#REF!</f>
        <v>#REF!</v>
      </c>
      <c r="C62" s="113" t="e">
        <f>PRODUCT(('2023'!F99),100)/Q_investment!#REF!</f>
        <v>#REF!</v>
      </c>
    </row>
    <row r="63" spans="1:17" ht="17.25">
      <c r="A63" s="116" t="e">
        <f>Divident_all!#REF!</f>
        <v>#REF!</v>
      </c>
      <c r="B63" s="117" t="e">
        <f>PRODUCT(('2022'!F98),100)/Q_investment!#REF!</f>
        <v>#REF!</v>
      </c>
      <c r="C63" s="118" t="e">
        <f>PRODUCT(('2023'!F100),100)/Q_investment!#REF!</f>
        <v>#REF!</v>
      </c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</row>
    <row r="64" spans="1:17" ht="17.25">
      <c r="A64" s="119" t="s">
        <v>117</v>
      </c>
      <c r="B64" s="119" t="e">
        <f t="shared" ref="B64:C64" si="0">SUM(B2:B63)/62</f>
        <v>#REF!</v>
      </c>
      <c r="C64" s="119" t="e">
        <f t="shared" si="0"/>
        <v>#REF!</v>
      </c>
    </row>
    <row r="996" spans="1:1" ht="17.25">
      <c r="A996" s="120">
        <f>Divident_all!B935</f>
        <v>0</v>
      </c>
    </row>
  </sheetData>
  <conditionalFormatting sqref="B2:C63">
    <cfRule type="containsBlanks" dxfId="13" priority="1">
      <formula>LEN(TRIM(B2))=0</formula>
    </cfRule>
  </conditionalFormatting>
  <conditionalFormatting sqref="B2:C63">
    <cfRule type="cellIs" dxfId="12" priority="2" operator="equal">
      <formula>0</formula>
    </cfRule>
  </conditionalFormatting>
  <conditionalFormatting sqref="B2:C63">
    <cfRule type="cellIs" dxfId="11" priority="3" operator="greaterThanOrEqual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3"/>
  <sheetViews>
    <sheetView workbookViewId="0">
      <selection activeCell="D13" sqref="D13"/>
    </sheetView>
  </sheetViews>
  <sheetFormatPr defaultColWidth="12.5703125" defaultRowHeight="15.75" customHeight="1"/>
  <cols>
    <col min="13" max="13" width="24.42578125" customWidth="1"/>
    <col min="14" max="14" width="31.85546875" customWidth="1"/>
  </cols>
  <sheetData>
    <row r="1" spans="1:15">
      <c r="A1" s="48" t="s">
        <v>118</v>
      </c>
      <c r="B1" s="48" t="s">
        <v>40</v>
      </c>
      <c r="C1" s="48" t="s">
        <v>119</v>
      </c>
      <c r="D1" s="48" t="s">
        <v>120</v>
      </c>
      <c r="E1" s="48" t="s">
        <v>41</v>
      </c>
      <c r="F1" s="48" t="s">
        <v>121</v>
      </c>
      <c r="G1" s="49" t="s">
        <v>122</v>
      </c>
      <c r="H1" s="49" t="s">
        <v>2</v>
      </c>
      <c r="I1" s="48" t="s">
        <v>123</v>
      </c>
      <c r="J1" s="49" t="s">
        <v>124</v>
      </c>
      <c r="K1" s="49" t="s">
        <v>125</v>
      </c>
      <c r="L1" s="48" t="s">
        <v>126</v>
      </c>
      <c r="M1" s="48" t="s">
        <v>127</v>
      </c>
      <c r="N1" s="48" t="s">
        <v>128</v>
      </c>
      <c r="O1" s="48" t="s">
        <v>129</v>
      </c>
    </row>
    <row r="2" spans="1:15">
      <c r="A2" s="121">
        <f ca="1">SUM(A3:A3)</f>
        <v>350.88348291683297</v>
      </c>
      <c r="B2" s="122"/>
      <c r="C2" s="123">
        <f>AVERAGE(C3:C3)</f>
        <v>7.2999999999999995E-2</v>
      </c>
      <c r="D2" s="122">
        <f>AVERAGE(D3:D3)</f>
        <v>62.5</v>
      </c>
      <c r="E2" s="124">
        <f ca="1">AVERAGE(E3:E3)</f>
        <v>24.84</v>
      </c>
      <c r="F2" s="125"/>
      <c r="G2" s="126"/>
      <c r="H2" s="127" t="str">
        <f ca="1">IFERROR(__xludf.DUMMYFUNCTION("sum(sum(H3:H5),sum(H7:H21),sum(H23:H24),H26,sum(H28:H64),H6*GOOGLEFINANCE(""Currency:EURUSD""),H22*GOOGLEFINANCE(""Currency:CADUSD""),(sum(H25,H27)/100)*GOOGLEFINANCE(""Currency:GBPUSD""))"),"#N/A")</f>
        <v>#N/A</v>
      </c>
      <c r="I2" s="128">
        <f>AVERAGE(I3:I3)</f>
        <v>1.0081769999999999</v>
      </c>
      <c r="J2" s="129"/>
      <c r="K2" s="130">
        <f ca="1">IFERROR(__xludf.DUMMYFUNCTION("sum(sum(K3:K5),sum(K7:K21),sum(K23:K24),K26,sum(K28:K64),K6*GOOGLEFINANCE(""Currency:EURUSD""),K22*GOOGLEFINANCE(""Currency:CADUSD""),(sum(K25,K27)/100)*GOOGLEFINANCE(""Currency:GBPUSD""))*GOOGLEFINANCE(""Currency:USDRON"")"),6.19606627876058)</f>
        <v>6.19606627876058</v>
      </c>
      <c r="L2" s="130">
        <f ca="1">IFERROR(__xludf.DUMMYFUNCTION("sum(sum(L3:L5),sum(L7:L21),sum(L23:L24),L26,sum(L28:L64),L6*GOOGLEFINANCE(""Currency:EURUSD""),L22*GOOGLEFINANCE(""Currency:CADUSD""),(sum(L25,L27)/100)*GOOGLEFINANCE(""Currency:GBPUSD""))*GOOGLEFINANCE(""Currency:USDRON"")"),55.5829556310415)</f>
        <v>55.5829556310415</v>
      </c>
      <c r="M2" s="131"/>
      <c r="N2" s="131"/>
      <c r="O2" s="132">
        <f>SUM(O3:O3)</f>
        <v>12584</v>
      </c>
    </row>
    <row r="3" spans="1:15">
      <c r="A3" s="133">
        <f ca="1">IFERROR(__xludf.DUMMYFUNCTION("sum(sum(H3:H5)*GOOGLEFINANCE (""Currency:USDRON""),H6*GOOGLEFINANCE (""Currency:EURRON""))"),350.883482916833)</f>
        <v>350.88348291683297</v>
      </c>
      <c r="B3" s="53" t="s">
        <v>224</v>
      </c>
      <c r="C3" s="134">
        <v>7.2999999999999995E-2</v>
      </c>
      <c r="D3" s="135">
        <v>62.5</v>
      </c>
      <c r="E3" s="54">
        <f ca="1">IFERROR(__xludf.DUMMYFUNCTION("GOOGLEFINANCE(""CWH"")"),24.84)</f>
        <v>24.84</v>
      </c>
      <c r="F3" s="54">
        <f ca="1">Intrisec_values!E3</f>
        <v>92.358471910112385</v>
      </c>
      <c r="G3" s="136">
        <f t="shared" ref="G3" ca="1" si="0">E3/D3</f>
        <v>0.39744000000000002</v>
      </c>
      <c r="H3" s="137">
        <f t="shared" ref="H3" ca="1" si="1">E3*I3</f>
        <v>25.043116679999997</v>
      </c>
      <c r="I3" s="135">
        <f>0.225451+0.223739+0.191766+0.367221</f>
        <v>1.0081769999999999</v>
      </c>
      <c r="J3" s="138">
        <v>10</v>
      </c>
      <c r="K3" s="61">
        <f t="shared" ref="K3" si="2">(((I3*D3)/100)*J3)/100</f>
        <v>6.3011062499999992E-2</v>
      </c>
      <c r="L3" s="139">
        <f t="shared" ref="L3" si="3">((I3*D3)/100)-K3</f>
        <v>0.56709956249999993</v>
      </c>
      <c r="M3" s="140" t="s">
        <v>130</v>
      </c>
      <c r="N3" s="140" t="s">
        <v>131</v>
      </c>
      <c r="O3" s="141">
        <v>12584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64"/>
  <sheetViews>
    <sheetView workbookViewId="0"/>
  </sheetViews>
  <sheetFormatPr defaultColWidth="12.5703125" defaultRowHeight="15.75" customHeight="1"/>
  <cols>
    <col min="11" max="11" width="24.42578125" customWidth="1"/>
    <col min="12" max="12" width="31.85546875" customWidth="1"/>
  </cols>
  <sheetData>
    <row r="1" spans="1:13">
      <c r="A1" s="48" t="s">
        <v>118</v>
      </c>
      <c r="B1" s="48" t="s">
        <v>40</v>
      </c>
      <c r="C1" s="48" t="s">
        <v>120</v>
      </c>
      <c r="D1" s="48" t="s">
        <v>41</v>
      </c>
      <c r="E1" s="49" t="s">
        <v>122</v>
      </c>
      <c r="F1" s="49" t="s">
        <v>2</v>
      </c>
      <c r="G1" s="48" t="s">
        <v>123</v>
      </c>
      <c r="H1" s="49" t="s">
        <v>124</v>
      </c>
      <c r="I1" s="49" t="s">
        <v>125</v>
      </c>
      <c r="J1" s="48" t="s">
        <v>126</v>
      </c>
      <c r="K1" s="48" t="s">
        <v>127</v>
      </c>
      <c r="L1" s="48" t="s">
        <v>128</v>
      </c>
      <c r="M1" s="48" t="s">
        <v>129</v>
      </c>
    </row>
    <row r="2" spans="1:13">
      <c r="A2" s="121">
        <f ca="1">SUM(A3:A64)</f>
        <v>5113.037656042221</v>
      </c>
      <c r="B2" s="122"/>
      <c r="C2" s="122">
        <f t="shared" ref="C2:D2" si="0">AVERAGE(C3:C64)</f>
        <v>100.28145161290323</v>
      </c>
      <c r="D2" s="124">
        <f t="shared" ca="1" si="0"/>
        <v>125.14540983606557</v>
      </c>
      <c r="E2" s="252"/>
      <c r="F2" s="253" t="str">
        <f ca="1">IFERROR(__xludf.DUMMYFUNCTION("sum(sum(F3:F5),sum(F7:F21),sum(F23:F24),F26,sum(F28:F64),F6*GOOGLEFINANCE(""Currency:EURUSD""),F22*GOOGLEFINANCE(""Currency:CADUSD""),(sum(F25,F27)/100)*GOOGLEFINANCE(""Currency:GBPUSD""))"),"#N/A")</f>
        <v>#N/A</v>
      </c>
      <c r="G2" s="122" t="e">
        <f>AVERAGE(G3:G64)</f>
        <v>#REF!</v>
      </c>
      <c r="H2" s="129"/>
      <c r="I2" s="129">
        <f ca="1">IFERROR(__xludf.DUMMYFUNCTION("sum(sum(I3:I5),sum(I7:I21),sum(I23:I24),I26,sum(I28:I64),I6*GOOGLEFINANCE(""Currency:EURUSD""),I22*GOOGLEFINANCE(""Currency:CADUSD""),(sum(I25,I27)/100)*GOOGLEFINANCE(""Currency:GBPUSD""))*GOOGLEFINANCE(""Currency:USDRON"")"),6.39602555182303)</f>
        <v>6.3960255518230298</v>
      </c>
      <c r="J2" s="129">
        <f ca="1">IFERROR(__xludf.DUMMYFUNCTION("sum(sum(J3:J5),sum(J7:J21),sum(J23:J24),J26,sum(J28:J64),J6*GOOGLEFINANCE(""Currency:EURUSD""),J22*GOOGLEFINANCE(""Currency:CADUSD""),(sum(J25,J27)/100)*GOOGLEFINANCE(""Currency:GBPUSD""))*GOOGLEFINANCE(""Currency:USDRON"")"),57.2777279724313)</f>
        <v>57.2777279724313</v>
      </c>
      <c r="K2" s="131"/>
      <c r="L2" s="131"/>
      <c r="M2" s="132">
        <f>SUM(M3:M64)</f>
        <v>3542338</v>
      </c>
    </row>
    <row r="3" spans="1:13">
      <c r="A3" s="133">
        <f ca="1">IFERROR(__xludf.DUMMYFUNCTION("sum(sum(F3:F5)*GOOGLEFINANCE (""Currency:USDRON""),F6*GOOGLEFINANCE (""Currency:EURRON""))"),350.883482916833)</f>
        <v>350.88348291683297</v>
      </c>
      <c r="B3" s="53" t="s">
        <v>49</v>
      </c>
      <c r="C3" s="135">
        <v>63</v>
      </c>
      <c r="D3" s="54">
        <f ca="1">IFERROR(__xludf.DUMMYFUNCTION("GOOGLEFINANCE(""CWH"")"),24.84)</f>
        <v>24.84</v>
      </c>
      <c r="E3" s="136">
        <f t="shared" ref="E3:E39" ca="1" si="1">D3/C3</f>
        <v>0.39428571428571429</v>
      </c>
      <c r="F3" s="137">
        <f t="shared" ref="F3:F24" ca="1" si="2">D3*G3</f>
        <v>25.043116679999997</v>
      </c>
      <c r="G3" s="143">
        <f>Divident_all!I3</f>
        <v>1.0081769999999999</v>
      </c>
      <c r="H3" s="138">
        <v>10</v>
      </c>
      <c r="I3" s="61">
        <f t="shared" ref="I3:I24" si="3">(((G3*C3)/100)*H3)/100</f>
        <v>6.3515150999999992E-2</v>
      </c>
      <c r="J3" s="139">
        <f t="shared" ref="J3:J5" si="4">((G3*C3)/100)-I3</f>
        <v>0.57163635899999998</v>
      </c>
      <c r="K3" s="140" t="s">
        <v>130</v>
      </c>
      <c r="L3" s="140" t="s">
        <v>131</v>
      </c>
      <c r="M3" s="141">
        <v>12584</v>
      </c>
    </row>
    <row r="4" spans="1:13">
      <c r="A4" s="142"/>
      <c r="B4" s="60" t="s">
        <v>51</v>
      </c>
      <c r="C4" s="143">
        <v>152</v>
      </c>
      <c r="D4" s="61">
        <f ca="1">IFERROR(__xludf.DUMMYFUNCTION("GOOGLEFINANCE(""mcd"")"),296.6)</f>
        <v>296.60000000000002</v>
      </c>
      <c r="E4" s="138">
        <f t="shared" ca="1" si="1"/>
        <v>1.9513157894736843</v>
      </c>
      <c r="F4" s="144" t="e">
        <f t="shared" ca="1" si="2"/>
        <v>#REF!</v>
      </c>
      <c r="G4" s="143" t="e">
        <f>Divident_all!#REF!</f>
        <v>#REF!</v>
      </c>
      <c r="H4" s="138">
        <v>10</v>
      </c>
      <c r="I4" s="61" t="e">
        <f t="shared" si="3"/>
        <v>#REF!</v>
      </c>
      <c r="J4" s="139" t="e">
        <f t="shared" si="4"/>
        <v>#REF!</v>
      </c>
      <c r="K4" s="145" t="s">
        <v>130</v>
      </c>
      <c r="L4" s="140" t="s">
        <v>132</v>
      </c>
      <c r="M4" s="146">
        <v>100000</v>
      </c>
    </row>
    <row r="5" spans="1:13">
      <c r="A5" s="142"/>
      <c r="B5" s="60" t="s">
        <v>53</v>
      </c>
      <c r="C5" s="143">
        <v>89.5</v>
      </c>
      <c r="D5" s="61">
        <f ca="1">IFERROR(__xludf.DUMMYFUNCTION("GOOGLEFINANCE(""gpc"")"),173.73)</f>
        <v>173.73</v>
      </c>
      <c r="E5" s="138">
        <f t="shared" ca="1" si="1"/>
        <v>1.941117318435754</v>
      </c>
      <c r="F5" s="144" t="e">
        <f t="shared" ca="1" si="2"/>
        <v>#REF!</v>
      </c>
      <c r="G5" s="143" t="e">
        <f>Divident_all!#REF!</f>
        <v>#REF!</v>
      </c>
      <c r="H5" s="138">
        <v>10</v>
      </c>
      <c r="I5" s="61" t="e">
        <f t="shared" si="3"/>
        <v>#REF!</v>
      </c>
      <c r="J5" s="139" t="e">
        <f t="shared" si="4"/>
        <v>#REF!</v>
      </c>
      <c r="K5" s="145" t="s">
        <v>130</v>
      </c>
      <c r="L5" s="140" t="s">
        <v>133</v>
      </c>
      <c r="M5" s="146">
        <v>53000</v>
      </c>
    </row>
    <row r="6" spans="1:13">
      <c r="A6" s="142"/>
      <c r="B6" s="60" t="s">
        <v>55</v>
      </c>
      <c r="C6" s="143">
        <v>700</v>
      </c>
      <c r="D6" s="64">
        <f ca="1">IFERROR(__xludf.DUMMYFUNCTION("GOOGLEFINANCE(""EPA:MC"")"),876.9)</f>
        <v>876.9</v>
      </c>
      <c r="E6" s="138">
        <f t="shared" ca="1" si="1"/>
        <v>1.2527142857142857</v>
      </c>
      <c r="F6" s="147" t="e">
        <f t="shared" ca="1" si="2"/>
        <v>#REF!</v>
      </c>
      <c r="G6" s="143" t="e">
        <f>Divident_all!#REF!</f>
        <v>#REF!</v>
      </c>
      <c r="H6" s="138">
        <v>25</v>
      </c>
      <c r="I6" s="148" t="e">
        <f t="shared" si="3"/>
        <v>#REF!</v>
      </c>
      <c r="J6" s="148" t="e">
        <f>(G6*C6)/100-I6</f>
        <v>#REF!</v>
      </c>
      <c r="K6" s="145" t="s">
        <v>130</v>
      </c>
      <c r="L6" s="140" t="s">
        <v>134</v>
      </c>
      <c r="M6" s="146">
        <v>157953</v>
      </c>
    </row>
    <row r="7" spans="1:13">
      <c r="A7" s="149">
        <f ca="1">IFERROR(__xludf.DUMMYFUNCTION("sum(sum(F7:F19)*GOOGLEFINANCE (""Currency:USDRON""))"),935.867450083654)</f>
        <v>935.86745008365403</v>
      </c>
      <c r="B7" s="66" t="s">
        <v>56</v>
      </c>
      <c r="C7" s="150">
        <v>23</v>
      </c>
      <c r="D7" s="67">
        <f ca="1">IFERROR(__xludf.DUMMYFUNCTION("GOOGLEFINANCE(""nwl"")"),10.11)</f>
        <v>10.11</v>
      </c>
      <c r="E7" s="151">
        <f t="shared" ca="1" si="1"/>
        <v>0.43956521739130433</v>
      </c>
      <c r="F7" s="152" t="e">
        <f t="shared" ca="1" si="2"/>
        <v>#REF!</v>
      </c>
      <c r="G7" s="150" t="e">
        <f>Divident_all!#REF!</f>
        <v>#REF!</v>
      </c>
      <c r="H7" s="151">
        <v>10</v>
      </c>
      <c r="I7" s="67" t="e">
        <f t="shared" si="3"/>
        <v>#REF!</v>
      </c>
      <c r="J7" s="153" t="e">
        <f t="shared" ref="J7:J24" si="5">((G7*C7)/100)-I7</f>
        <v>#REF!</v>
      </c>
      <c r="K7" s="154" t="s">
        <v>135</v>
      </c>
      <c r="L7" s="154" t="s">
        <v>136</v>
      </c>
      <c r="M7" s="155">
        <v>52000</v>
      </c>
    </row>
    <row r="8" spans="1:13">
      <c r="A8" s="142"/>
      <c r="B8" s="66" t="s">
        <v>57</v>
      </c>
      <c r="C8" s="150">
        <v>66</v>
      </c>
      <c r="D8" s="67">
        <f ca="1">IFERROR(__xludf.DUMMYFUNCTION("GOOGLEFINANCE(""el"")"),203.54)</f>
        <v>203.54</v>
      </c>
      <c r="E8" s="151">
        <f t="shared" ca="1" si="1"/>
        <v>3.083939393939394</v>
      </c>
      <c r="F8" s="152" t="e">
        <f t="shared" ca="1" si="2"/>
        <v>#REF!</v>
      </c>
      <c r="G8" s="150" t="e">
        <f>Divident_all!#REF!</f>
        <v>#REF!</v>
      </c>
      <c r="H8" s="151">
        <v>10</v>
      </c>
      <c r="I8" s="67" t="e">
        <f t="shared" si="3"/>
        <v>#REF!</v>
      </c>
      <c r="J8" s="153" t="e">
        <f t="shared" si="5"/>
        <v>#REF!</v>
      </c>
      <c r="K8" s="156" t="s">
        <v>135</v>
      </c>
      <c r="L8" s="156" t="s">
        <v>136</v>
      </c>
      <c r="M8" s="157" t="s">
        <v>137</v>
      </c>
    </row>
    <row r="9" spans="1:13">
      <c r="A9" s="158"/>
      <c r="B9" s="66" t="s">
        <v>58</v>
      </c>
      <c r="C9" s="150">
        <v>44</v>
      </c>
      <c r="D9" s="67">
        <f ca="1">IFERROR(__xludf.DUMMYFUNCTION("GOOGLEFINANCE(""ko"")"),64.02)</f>
        <v>64.02</v>
      </c>
      <c r="E9" s="151">
        <f t="shared" ca="1" si="1"/>
        <v>1.4549999999999998</v>
      </c>
      <c r="F9" s="152" t="e">
        <f t="shared" ca="1" si="2"/>
        <v>#REF!</v>
      </c>
      <c r="G9" s="150" t="e">
        <f>Divident_all!#REF!</f>
        <v>#REF!</v>
      </c>
      <c r="H9" s="151">
        <v>10</v>
      </c>
      <c r="I9" s="67" t="e">
        <f t="shared" si="3"/>
        <v>#REF!</v>
      </c>
      <c r="J9" s="153" t="e">
        <f t="shared" si="5"/>
        <v>#REF!</v>
      </c>
      <c r="K9" s="156" t="s">
        <v>135</v>
      </c>
      <c r="L9" s="154" t="s">
        <v>138</v>
      </c>
      <c r="M9" s="155">
        <v>79000</v>
      </c>
    </row>
    <row r="10" spans="1:13">
      <c r="A10" s="142"/>
      <c r="B10" s="66" t="s">
        <v>59</v>
      </c>
      <c r="C10" s="150">
        <v>94</v>
      </c>
      <c r="D10" s="67">
        <f ca="1">IFERROR(__xludf.DUMMYFUNCTION("GOOGLEFINANCE(""mo"")"),46.69)</f>
        <v>46.69</v>
      </c>
      <c r="E10" s="151">
        <f t="shared" ca="1" si="1"/>
        <v>0.49670212765957444</v>
      </c>
      <c r="F10" s="152" t="e">
        <f t="shared" ca="1" si="2"/>
        <v>#REF!</v>
      </c>
      <c r="G10" s="150" t="e">
        <f>Divident_all!#REF!</f>
        <v>#REF!</v>
      </c>
      <c r="H10" s="151">
        <v>10</v>
      </c>
      <c r="I10" s="67" t="e">
        <f t="shared" si="3"/>
        <v>#REF!</v>
      </c>
      <c r="J10" s="153" t="e">
        <f t="shared" si="5"/>
        <v>#REF!</v>
      </c>
      <c r="K10" s="156" t="s">
        <v>135</v>
      </c>
      <c r="L10" s="154" t="s">
        <v>139</v>
      </c>
      <c r="M10" s="155">
        <v>6000</v>
      </c>
    </row>
    <row r="11" spans="1:13">
      <c r="A11" s="142"/>
      <c r="B11" s="66" t="s">
        <v>60</v>
      </c>
      <c r="C11" s="150">
        <v>79</v>
      </c>
      <c r="D11" s="67">
        <f ca="1">IFERROR(__xludf.DUMMYFUNCTION("GOOGLEFINANCE(""uvv"")"),54)</f>
        <v>54</v>
      </c>
      <c r="E11" s="151">
        <f t="shared" ca="1" si="1"/>
        <v>0.68354430379746833</v>
      </c>
      <c r="F11" s="152" t="e">
        <f t="shared" ca="1" si="2"/>
        <v>#REF!</v>
      </c>
      <c r="G11" s="150" t="e">
        <f>Divident_all!#REF!</f>
        <v>#REF!</v>
      </c>
      <c r="H11" s="151">
        <v>10</v>
      </c>
      <c r="I11" s="67" t="e">
        <f t="shared" si="3"/>
        <v>#REF!</v>
      </c>
      <c r="J11" s="153" t="e">
        <f t="shared" si="5"/>
        <v>#REF!</v>
      </c>
      <c r="K11" s="156" t="s">
        <v>135</v>
      </c>
      <c r="L11" s="156" t="s">
        <v>139</v>
      </c>
      <c r="M11" s="155">
        <v>11250</v>
      </c>
    </row>
    <row r="12" spans="1:13">
      <c r="A12" s="142"/>
      <c r="B12" s="66" t="s">
        <v>62</v>
      </c>
      <c r="C12" s="150">
        <v>127</v>
      </c>
      <c r="D12" s="67">
        <f ca="1">IFERROR(__xludf.DUMMYFUNCTION("GOOGLEFINANCE(""pm"")"),95.56)</f>
        <v>95.56</v>
      </c>
      <c r="E12" s="151">
        <f t="shared" ca="1" si="1"/>
        <v>0.75244094488188973</v>
      </c>
      <c r="F12" s="152" t="e">
        <f t="shared" ca="1" si="2"/>
        <v>#REF!</v>
      </c>
      <c r="G12" s="150" t="e">
        <f>Divident_all!#REF!</f>
        <v>#REF!</v>
      </c>
      <c r="H12" s="151">
        <v>10</v>
      </c>
      <c r="I12" s="67" t="e">
        <f t="shared" si="3"/>
        <v>#REF!</v>
      </c>
      <c r="J12" s="153" t="e">
        <f t="shared" si="5"/>
        <v>#REF!</v>
      </c>
      <c r="K12" s="156" t="s">
        <v>135</v>
      </c>
      <c r="L12" s="156" t="s">
        <v>139</v>
      </c>
      <c r="M12" s="155">
        <v>69600</v>
      </c>
    </row>
    <row r="13" spans="1:13">
      <c r="A13" s="142"/>
      <c r="B13" s="66" t="s">
        <v>63</v>
      </c>
      <c r="C13" s="150">
        <v>74.040000000000006</v>
      </c>
      <c r="D13" s="67">
        <f ca="1">IFERROR(__xludf.DUMMYFUNCTION("GOOGLEFINANCE(""bti"")"),35.6)</f>
        <v>35.6</v>
      </c>
      <c r="E13" s="151">
        <f t="shared" ca="1" si="1"/>
        <v>0.4808211777417612</v>
      </c>
      <c r="F13" s="152" t="e">
        <f t="shared" ca="1" si="2"/>
        <v>#REF!</v>
      </c>
      <c r="G13" s="150" t="e">
        <f>Divident_all!#REF!</f>
        <v>#REF!</v>
      </c>
      <c r="H13" s="151">
        <v>10</v>
      </c>
      <c r="I13" s="67" t="e">
        <f t="shared" si="3"/>
        <v>#REF!</v>
      </c>
      <c r="J13" s="153" t="e">
        <f t="shared" si="5"/>
        <v>#REF!</v>
      </c>
      <c r="K13" s="156" t="s">
        <v>135</v>
      </c>
      <c r="L13" s="156" t="s">
        <v>139</v>
      </c>
      <c r="M13" s="155">
        <v>54360</v>
      </c>
    </row>
    <row r="14" spans="1:13">
      <c r="A14" s="142"/>
      <c r="B14" s="66" t="s">
        <v>64</v>
      </c>
      <c r="C14" s="150">
        <v>115</v>
      </c>
      <c r="D14" s="67">
        <f ca="1">IFERROR(__xludf.DUMMYFUNCTION("GOOGLEFINANCE(""PEP"")"),194.27)</f>
        <v>194.27</v>
      </c>
      <c r="E14" s="151">
        <f t="shared" ca="1" si="1"/>
        <v>1.689304347826087</v>
      </c>
      <c r="F14" s="152" t="e">
        <f t="shared" ca="1" si="2"/>
        <v>#REF!</v>
      </c>
      <c r="G14" s="150" t="e">
        <f>Divident_all!#REF!</f>
        <v>#REF!</v>
      </c>
      <c r="H14" s="151">
        <v>10</v>
      </c>
      <c r="I14" s="67" t="e">
        <f t="shared" si="3"/>
        <v>#REF!</v>
      </c>
      <c r="J14" s="153" t="e">
        <f t="shared" si="5"/>
        <v>#REF!</v>
      </c>
      <c r="K14" s="156" t="s">
        <v>135</v>
      </c>
      <c r="L14" s="156" t="s">
        <v>138</v>
      </c>
      <c r="M14" s="155">
        <v>309000</v>
      </c>
    </row>
    <row r="15" spans="1:13">
      <c r="A15" s="142"/>
      <c r="B15" s="66" t="s">
        <v>65</v>
      </c>
      <c r="C15" s="150">
        <v>47</v>
      </c>
      <c r="D15" s="67">
        <f ca="1">IFERROR(__xludf.DUMMYFUNCTION("GOOGLEFINANCE(""CL"")"),80.59)</f>
        <v>80.59</v>
      </c>
      <c r="E15" s="151">
        <f t="shared" ca="1" si="1"/>
        <v>1.7146808510638298</v>
      </c>
      <c r="F15" s="152" t="e">
        <f t="shared" ca="1" si="2"/>
        <v>#REF!</v>
      </c>
      <c r="G15" s="150" t="e">
        <f>Divident_all!#REF!</f>
        <v>#REF!</v>
      </c>
      <c r="H15" s="151">
        <v>10</v>
      </c>
      <c r="I15" s="67" t="e">
        <f t="shared" si="3"/>
        <v>#REF!</v>
      </c>
      <c r="J15" s="153" t="e">
        <f t="shared" si="5"/>
        <v>#REF!</v>
      </c>
      <c r="K15" s="156" t="s">
        <v>135</v>
      </c>
      <c r="L15" s="156" t="s">
        <v>136</v>
      </c>
      <c r="M15" s="155">
        <v>33800</v>
      </c>
    </row>
    <row r="16" spans="1:13">
      <c r="A16" s="142"/>
      <c r="B16" s="66" t="s">
        <v>66</v>
      </c>
      <c r="C16" s="150">
        <v>91.33</v>
      </c>
      <c r="D16" s="67">
        <f ca="1">IFERROR(__xludf.DUMMYFUNCTION("GOOGLEFINANCE(""pg"")"),156.03)</f>
        <v>156.03</v>
      </c>
      <c r="E16" s="151">
        <f t="shared" ca="1" si="1"/>
        <v>1.7084200153290265</v>
      </c>
      <c r="F16" s="152" t="e">
        <f t="shared" ca="1" si="2"/>
        <v>#REF!</v>
      </c>
      <c r="G16" s="150" t="e">
        <f>Divident_all!#REF!</f>
        <v>#REF!</v>
      </c>
      <c r="H16" s="151">
        <v>10</v>
      </c>
      <c r="I16" s="67" t="e">
        <f t="shared" si="3"/>
        <v>#REF!</v>
      </c>
      <c r="J16" s="153" t="e">
        <f t="shared" si="5"/>
        <v>#REF!</v>
      </c>
      <c r="K16" s="156" t="s">
        <v>135</v>
      </c>
      <c r="L16" s="156" t="s">
        <v>136</v>
      </c>
      <c r="M16" s="155">
        <v>106000</v>
      </c>
    </row>
    <row r="17" spans="1:31">
      <c r="A17" s="142"/>
      <c r="B17" s="66" t="s">
        <v>67</v>
      </c>
      <c r="C17" s="150">
        <v>118</v>
      </c>
      <c r="D17" s="67">
        <f ca="1">IFERROR(__xludf.DUMMYFUNCTION("GOOGLEFINANCE(""KMB"")"),145.18)</f>
        <v>145.18</v>
      </c>
      <c r="E17" s="151">
        <f t="shared" ca="1" si="1"/>
        <v>1.2303389830508475</v>
      </c>
      <c r="F17" s="152" t="e">
        <f t="shared" ca="1" si="2"/>
        <v>#REF!</v>
      </c>
      <c r="G17" s="150" t="e">
        <f>Divident_all!#REF!</f>
        <v>#REF!</v>
      </c>
      <c r="H17" s="151">
        <v>10</v>
      </c>
      <c r="I17" s="67" t="e">
        <f t="shared" si="3"/>
        <v>#REF!</v>
      </c>
      <c r="J17" s="153" t="e">
        <f t="shared" si="5"/>
        <v>#REF!</v>
      </c>
      <c r="K17" s="156" t="s">
        <v>135</v>
      </c>
      <c r="L17" s="156" t="s">
        <v>136</v>
      </c>
      <c r="M17" s="155">
        <v>45000</v>
      </c>
    </row>
    <row r="18" spans="1:31">
      <c r="A18" s="142"/>
      <c r="B18" s="66" t="s">
        <v>68</v>
      </c>
      <c r="C18" s="150">
        <v>33</v>
      </c>
      <c r="D18" s="67">
        <f ca="1">IFERROR(__xludf.DUMMYFUNCTION("GOOGLEFINANCE(""cag"")"),37.82)</f>
        <v>37.82</v>
      </c>
      <c r="E18" s="151">
        <f t="shared" ca="1" si="1"/>
        <v>1.146060606060606</v>
      </c>
      <c r="F18" s="152" t="e">
        <f t="shared" ca="1" si="2"/>
        <v>#REF!</v>
      </c>
      <c r="G18" s="150" t="e">
        <f>Divident_all!#REF!</f>
        <v>#REF!</v>
      </c>
      <c r="H18" s="151">
        <v>10</v>
      </c>
      <c r="I18" s="67" t="e">
        <f t="shared" si="3"/>
        <v>#REF!</v>
      </c>
      <c r="J18" s="153" t="e">
        <f t="shared" si="5"/>
        <v>#REF!</v>
      </c>
      <c r="K18" s="156" t="s">
        <v>135</v>
      </c>
      <c r="L18" s="154" t="s">
        <v>140</v>
      </c>
      <c r="M18" s="155">
        <v>18000</v>
      </c>
    </row>
    <row r="19" spans="1:31">
      <c r="A19" s="142"/>
      <c r="B19" s="66" t="s">
        <v>69</v>
      </c>
      <c r="C19" s="150">
        <v>49</v>
      </c>
      <c r="D19" s="67">
        <f ca="1">IFERROR(__xludf.DUMMYFUNCTION("GOOGLEFINANCE(""SYY"")"),76.77)</f>
        <v>76.77</v>
      </c>
      <c r="E19" s="151">
        <f t="shared" ca="1" si="1"/>
        <v>1.566734693877551</v>
      </c>
      <c r="F19" s="152" t="e">
        <f t="shared" ca="1" si="2"/>
        <v>#REF!</v>
      </c>
      <c r="G19" s="150" t="e">
        <f>Divident_all!#REF!</f>
        <v>#REF!</v>
      </c>
      <c r="H19" s="151">
        <v>10</v>
      </c>
      <c r="I19" s="67" t="e">
        <f t="shared" si="3"/>
        <v>#REF!</v>
      </c>
      <c r="J19" s="153" t="e">
        <f t="shared" si="5"/>
        <v>#REF!</v>
      </c>
      <c r="K19" s="156" t="s">
        <v>135</v>
      </c>
      <c r="L19" s="154" t="s">
        <v>141</v>
      </c>
      <c r="M19" s="155">
        <v>71000</v>
      </c>
    </row>
    <row r="20" spans="1:31">
      <c r="A20" s="159">
        <f ca="1">IFERROR(__xludf.DUMMYFUNCTION("sum(sum(F20,F21,F23,F24)*GOOGLEFINANCE (""Currency:USDRON""),(F25/100)*GOOGLEFINANCE (""Currency:GBPRON""),F22*GOOGLEFINANCE(""Currency:CADRON""))"),569.769951933747)</f>
        <v>569.76995193374705</v>
      </c>
      <c r="B20" s="74" t="s">
        <v>70</v>
      </c>
      <c r="C20" s="160">
        <v>69</v>
      </c>
      <c r="D20" s="75">
        <f ca="1">IFERROR(__xludf.DUMMYFUNCTION("GOOGLEFINANCE(""DVN"")"),50.36)</f>
        <v>50.36</v>
      </c>
      <c r="E20" s="161">
        <f t="shared" ca="1" si="1"/>
        <v>0.72985507246376813</v>
      </c>
      <c r="F20" s="162" t="e">
        <f t="shared" ca="1" si="2"/>
        <v>#REF!</v>
      </c>
      <c r="G20" s="254" t="e">
        <f>Divident_all!#REF!</f>
        <v>#REF!</v>
      </c>
      <c r="H20" s="161">
        <v>10</v>
      </c>
      <c r="I20" s="75" t="e">
        <f t="shared" si="3"/>
        <v>#REF!</v>
      </c>
      <c r="J20" s="163" t="e">
        <f t="shared" si="5"/>
        <v>#REF!</v>
      </c>
      <c r="K20" s="164" t="s">
        <v>142</v>
      </c>
      <c r="L20" s="164" t="s">
        <v>143</v>
      </c>
      <c r="M20" s="165">
        <v>1600</v>
      </c>
    </row>
    <row r="21" spans="1:31">
      <c r="B21" s="74" t="s">
        <v>71</v>
      </c>
      <c r="C21" s="160">
        <v>95.5</v>
      </c>
      <c r="D21" s="75">
        <f ca="1">IFERROR(__xludf.DUMMYFUNCTION("GOOGLEFINANCE(""oke"")"),64.51)</f>
        <v>64.510000000000005</v>
      </c>
      <c r="E21" s="161">
        <f t="shared" ca="1" si="1"/>
        <v>0.67549738219895294</v>
      </c>
      <c r="F21" s="162" t="e">
        <f t="shared" ca="1" si="2"/>
        <v>#REF!</v>
      </c>
      <c r="G21" s="254" t="e">
        <f>Divident_all!#REF!</f>
        <v>#REF!</v>
      </c>
      <c r="H21" s="161">
        <v>10</v>
      </c>
      <c r="I21" s="75" t="e">
        <f t="shared" si="3"/>
        <v>#REF!</v>
      </c>
      <c r="J21" s="163" t="e">
        <f t="shared" si="5"/>
        <v>#REF!</v>
      </c>
      <c r="K21" s="166" t="s">
        <v>142</v>
      </c>
      <c r="L21" s="164" t="s">
        <v>144</v>
      </c>
      <c r="M21" s="165">
        <v>2847</v>
      </c>
    </row>
    <row r="22" spans="1:31">
      <c r="A22" s="167"/>
      <c r="B22" s="76" t="s">
        <v>72</v>
      </c>
      <c r="C22" s="168">
        <v>88.75</v>
      </c>
      <c r="D22" s="77">
        <f ca="1">IFERROR(__xludf.DUMMYFUNCTION("GOOGLEFINANCE(""enb"")"),39.91)</f>
        <v>39.909999999999997</v>
      </c>
      <c r="E22" s="169">
        <f t="shared" ca="1" si="1"/>
        <v>0.44969014084507036</v>
      </c>
      <c r="F22" s="77" t="e">
        <f t="shared" ca="1" si="2"/>
        <v>#REF!</v>
      </c>
      <c r="G22" s="254" t="e">
        <f>Divident_all!#REF!</f>
        <v>#REF!</v>
      </c>
      <c r="H22" s="169">
        <v>10</v>
      </c>
      <c r="I22" s="77" t="e">
        <f t="shared" si="3"/>
        <v>#REF!</v>
      </c>
      <c r="J22" s="77" t="e">
        <f t="shared" si="5"/>
        <v>#REF!</v>
      </c>
      <c r="K22" s="170" t="s">
        <v>142</v>
      </c>
      <c r="L22" s="166" t="s">
        <v>144</v>
      </c>
      <c r="M22" s="171">
        <v>10900</v>
      </c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</row>
    <row r="23" spans="1:31">
      <c r="B23" s="74" t="s">
        <v>73</v>
      </c>
      <c r="C23" s="160">
        <v>151</v>
      </c>
      <c r="D23" s="75">
        <f ca="1">IFERROR(__xludf.DUMMYFUNCTION("GOOGLEFINANCE(""CVX"")"),160.21)</f>
        <v>160.21</v>
      </c>
      <c r="E23" s="161">
        <f t="shared" ca="1" si="1"/>
        <v>1.0609933774834437</v>
      </c>
      <c r="F23" s="162" t="e">
        <f t="shared" ca="1" si="2"/>
        <v>#REF!</v>
      </c>
      <c r="G23" s="254" t="e">
        <f>Divident_all!#REF!</f>
        <v>#REF!</v>
      </c>
      <c r="H23" s="161">
        <v>10</v>
      </c>
      <c r="I23" s="75" t="e">
        <f t="shared" si="3"/>
        <v>#REF!</v>
      </c>
      <c r="J23" s="163" t="e">
        <f t="shared" si="5"/>
        <v>#REF!</v>
      </c>
      <c r="K23" s="166" t="s">
        <v>142</v>
      </c>
      <c r="L23" s="166" t="s">
        <v>145</v>
      </c>
      <c r="M23" s="165">
        <v>42595</v>
      </c>
    </row>
    <row r="24" spans="1:31">
      <c r="B24" s="74" t="s">
        <v>74</v>
      </c>
      <c r="C24" s="160">
        <v>36.04</v>
      </c>
      <c r="D24" s="75">
        <f ca="1">IFERROR(__xludf.DUMMYFUNCTION("GOOGLEFINANCE(""BP"")"),37.13)</f>
        <v>37.130000000000003</v>
      </c>
      <c r="E24" s="161">
        <f t="shared" ca="1" si="1"/>
        <v>1.0302441731409546</v>
      </c>
      <c r="F24" s="162" t="e">
        <f t="shared" ca="1" si="2"/>
        <v>#REF!</v>
      </c>
      <c r="G24" s="254" t="e">
        <f>Divident_all!#REF!</f>
        <v>#REF!</v>
      </c>
      <c r="H24" s="161">
        <v>0</v>
      </c>
      <c r="I24" s="75" t="e">
        <f t="shared" si="3"/>
        <v>#REF!</v>
      </c>
      <c r="J24" s="163" t="e">
        <f t="shared" si="5"/>
        <v>#REF!</v>
      </c>
      <c r="K24" s="166" t="s">
        <v>142</v>
      </c>
      <c r="L24" s="166" t="s">
        <v>145</v>
      </c>
      <c r="M24" s="165">
        <v>65900</v>
      </c>
    </row>
    <row r="25" spans="1:31">
      <c r="B25" s="74" t="s">
        <v>75</v>
      </c>
      <c r="C25" s="160">
        <v>171</v>
      </c>
      <c r="D25" s="173">
        <f ca="1">IFERROR(__xludf.DUMMYFUNCTION("GOOGLEFINANCE(""LON:TRIG"")"),127.4)</f>
        <v>127.4</v>
      </c>
      <c r="E25" s="161">
        <f t="shared" ca="1" si="1"/>
        <v>0.74502923976608193</v>
      </c>
      <c r="F25" s="174" t="e">
        <f ca="1">(D25*G25)/100</f>
        <v>#REF!</v>
      </c>
      <c r="G25" s="254" t="e">
        <f>Divident_all!#REF!</f>
        <v>#REF!</v>
      </c>
      <c r="H25" s="161">
        <v>10</v>
      </c>
      <c r="I25" s="175" t="e">
        <f>((((G25*C25)/100)*H25)/100)/100</f>
        <v>#REF!</v>
      </c>
      <c r="J25" s="176" t="e">
        <f>(((G25*C25)/100)-I25)/100</f>
        <v>#REF!</v>
      </c>
      <c r="K25" s="166" t="s">
        <v>142</v>
      </c>
      <c r="L25" s="164" t="s">
        <v>146</v>
      </c>
      <c r="M25" s="165"/>
    </row>
    <row r="26" spans="1:31">
      <c r="A26" s="177" t="str">
        <f ca="1">IFERROR(__xludf.DUMMYFUNCTION("sum(sum(sum(F28:F32),F26)*GOOGLEFINANCE (""Currency:USDRON""),(F27/100)*GOOGLEFINANCE(""Currency:GBPRON""))"),"#N/A")</f>
        <v>#N/A</v>
      </c>
      <c r="B26" s="83" t="s">
        <v>76</v>
      </c>
      <c r="C26" s="178">
        <v>120</v>
      </c>
      <c r="D26" s="84">
        <f ca="1">IFERROR(__xludf.DUMMYFUNCTION("GOOGLEFINANCE(""trow"")"),107.47)</f>
        <v>107.47</v>
      </c>
      <c r="E26" s="179">
        <f t="shared" ca="1" si="1"/>
        <v>0.89558333333333329</v>
      </c>
      <c r="F26" s="180" t="e">
        <f t="shared" ref="F26:F64" ca="1" si="6">D26*G26</f>
        <v>#REF!</v>
      </c>
      <c r="G26" s="255" t="e">
        <f>Divident_all!#REF!</f>
        <v>#REF!</v>
      </c>
      <c r="H26" s="179">
        <v>10</v>
      </c>
      <c r="I26" s="84" t="e">
        <f>(((G26*C26)/100)*H26)/100</f>
        <v>#REF!</v>
      </c>
      <c r="J26" s="181" t="e">
        <f>((G26*C26)/100)-I26</f>
        <v>#REF!</v>
      </c>
      <c r="K26" s="182" t="s">
        <v>147</v>
      </c>
      <c r="L26" s="182" t="s">
        <v>148</v>
      </c>
      <c r="M26" s="183">
        <v>7771</v>
      </c>
    </row>
    <row r="27" spans="1:31">
      <c r="B27" s="83" t="s">
        <v>77</v>
      </c>
      <c r="C27" s="178">
        <v>210</v>
      </c>
      <c r="D27" s="85" t="str">
        <f ca="1">IFERROR(__xludf.DUMMYFUNCTION("GOOGLEFINANCE(""BSIF"")"),"#N/A")</f>
        <v>#N/A</v>
      </c>
      <c r="E27" s="179" t="e">
        <f t="shared" ca="1" si="1"/>
        <v>#VALUE!</v>
      </c>
      <c r="F27" s="256" t="e">
        <f t="shared" ca="1" si="6"/>
        <v>#VALUE!</v>
      </c>
      <c r="G27" s="255" t="e">
        <f>Divident_all!#REF!</f>
        <v>#REF!</v>
      </c>
      <c r="H27" s="179">
        <v>10</v>
      </c>
      <c r="I27" s="184" t="e">
        <f>((((G27*C27)/100)*H27)/100)/100</f>
        <v>#REF!</v>
      </c>
      <c r="J27" s="185" t="e">
        <f>(((G27*C27)/100)-I27)/100</f>
        <v>#REF!</v>
      </c>
      <c r="K27" s="186" t="s">
        <v>147</v>
      </c>
      <c r="L27" s="186" t="s">
        <v>148</v>
      </c>
      <c r="M27" s="183"/>
    </row>
    <row r="28" spans="1:31">
      <c r="B28" s="83" t="s">
        <v>78</v>
      </c>
      <c r="C28" s="178">
        <v>100</v>
      </c>
      <c r="D28" s="84">
        <f ca="1">IFERROR(__xludf.DUMMYFUNCTION("GOOGLEFINANCE(""jpm"")"),136.74)</f>
        <v>136.74</v>
      </c>
      <c r="E28" s="179">
        <f t="shared" ca="1" si="1"/>
        <v>1.3674000000000002</v>
      </c>
      <c r="F28" s="180" t="e">
        <f t="shared" ca="1" si="6"/>
        <v>#REF!</v>
      </c>
      <c r="G28" s="255" t="e">
        <f>Divident_all!#REF!</f>
        <v>#REF!</v>
      </c>
      <c r="H28" s="179">
        <v>10</v>
      </c>
      <c r="I28" s="84" t="e">
        <f t="shared" ref="I28:I64" si="7">(((G28*C28)/100)*H28)/100</f>
        <v>#REF!</v>
      </c>
      <c r="J28" s="181" t="e">
        <f t="shared" ref="J28:J53" si="8">((G28*C28)/100)-I28</f>
        <v>#REF!</v>
      </c>
      <c r="K28" s="186" t="s">
        <v>147</v>
      </c>
      <c r="L28" s="182" t="s">
        <v>149</v>
      </c>
      <c r="M28" s="183">
        <v>278494</v>
      </c>
    </row>
    <row r="29" spans="1:31">
      <c r="B29" s="83" t="s">
        <v>79</v>
      </c>
      <c r="C29" s="178">
        <v>17</v>
      </c>
      <c r="D29" s="84">
        <f ca="1">IFERROR(__xludf.DUMMYFUNCTION("GOOGLEFINANCE(""nycb"")"),10.06)</f>
        <v>10.06</v>
      </c>
      <c r="E29" s="179">
        <f t="shared" ca="1" si="1"/>
        <v>0.59176470588235297</v>
      </c>
      <c r="F29" s="180" t="e">
        <f t="shared" ca="1" si="6"/>
        <v>#REF!</v>
      </c>
      <c r="G29" s="255" t="e">
        <f>Divident_all!#REF!</f>
        <v>#REF!</v>
      </c>
      <c r="H29" s="179">
        <v>10</v>
      </c>
      <c r="I29" s="84" t="e">
        <f t="shared" si="7"/>
        <v>#REF!</v>
      </c>
      <c r="J29" s="181" t="e">
        <f t="shared" si="8"/>
        <v>#REF!</v>
      </c>
      <c r="K29" s="186" t="s">
        <v>147</v>
      </c>
      <c r="L29" s="182" t="s">
        <v>150</v>
      </c>
      <c r="M29" s="183">
        <v>2815</v>
      </c>
    </row>
    <row r="30" spans="1:31">
      <c r="B30" s="83" t="s">
        <v>80</v>
      </c>
      <c r="C30" s="178">
        <v>75</v>
      </c>
      <c r="D30" s="84">
        <f ca="1">IFERROR(__xludf.DUMMYFUNCTION("GOOGLEFINANCE(""CINF"")"),105.24)</f>
        <v>105.24</v>
      </c>
      <c r="E30" s="179">
        <f t="shared" ca="1" si="1"/>
        <v>1.4032</v>
      </c>
      <c r="F30" s="180" t="e">
        <f t="shared" ca="1" si="6"/>
        <v>#REF!</v>
      </c>
      <c r="G30" s="255" t="e">
        <f>Divident_all!#REF!</f>
        <v>#REF!</v>
      </c>
      <c r="H30" s="179">
        <v>10</v>
      </c>
      <c r="I30" s="84" t="e">
        <f t="shared" si="7"/>
        <v>#REF!</v>
      </c>
      <c r="J30" s="181" t="e">
        <f t="shared" si="8"/>
        <v>#REF!</v>
      </c>
      <c r="K30" s="186" t="s">
        <v>147</v>
      </c>
      <c r="L30" s="182" t="s">
        <v>151</v>
      </c>
      <c r="M30" s="183">
        <v>5166</v>
      </c>
    </row>
    <row r="31" spans="1:31">
      <c r="B31" s="83" t="s">
        <v>81</v>
      </c>
      <c r="C31" s="178">
        <v>400</v>
      </c>
      <c r="D31" s="84">
        <f ca="1">IFERROR(__xludf.DUMMYFUNCTION("GOOGLEFINANCE(""AFG"")"),115.84)</f>
        <v>115.84</v>
      </c>
      <c r="E31" s="179">
        <f t="shared" ca="1" si="1"/>
        <v>0.28960000000000002</v>
      </c>
      <c r="F31" s="180" t="e">
        <f t="shared" ca="1" si="6"/>
        <v>#REF!</v>
      </c>
      <c r="G31" s="255" t="e">
        <f>Divident_all!#REF!</f>
        <v>#REF!</v>
      </c>
      <c r="H31" s="179">
        <v>10</v>
      </c>
      <c r="I31" s="84" t="e">
        <f t="shared" si="7"/>
        <v>#REF!</v>
      </c>
      <c r="J31" s="181" t="e">
        <f t="shared" si="8"/>
        <v>#REF!</v>
      </c>
      <c r="K31" s="186" t="s">
        <v>147</v>
      </c>
      <c r="L31" s="186" t="s">
        <v>151</v>
      </c>
      <c r="M31" s="183">
        <v>6600</v>
      </c>
    </row>
    <row r="32" spans="1:31">
      <c r="B32" s="83" t="s">
        <v>82</v>
      </c>
      <c r="C32" s="178">
        <v>30</v>
      </c>
      <c r="D32" s="84">
        <f ca="1">IFERROR(__xludf.DUMMYFUNCTION("GOOGLEFINANCE(""ALLY"")"),25.32)</f>
        <v>25.32</v>
      </c>
      <c r="E32" s="179">
        <f t="shared" ca="1" si="1"/>
        <v>0.84399999999999997</v>
      </c>
      <c r="F32" s="180" t="e">
        <f t="shared" ca="1" si="6"/>
        <v>#REF!</v>
      </c>
      <c r="G32" s="255" t="e">
        <f>Divident_all!#REF!</f>
        <v>#REF!</v>
      </c>
      <c r="H32" s="179">
        <v>10</v>
      </c>
      <c r="I32" s="84" t="e">
        <f t="shared" si="7"/>
        <v>#REF!</v>
      </c>
      <c r="J32" s="181" t="e">
        <f t="shared" si="8"/>
        <v>#REF!</v>
      </c>
      <c r="K32" s="186" t="s">
        <v>147</v>
      </c>
      <c r="L32" s="182" t="s">
        <v>152</v>
      </c>
      <c r="M32" s="183">
        <v>10500</v>
      </c>
    </row>
    <row r="33" spans="1:13">
      <c r="A33" s="187">
        <f ca="1">IFERROR(__xludf.DUMMYFUNCTION("sum(sum(F33:F39)*GOOGLEFINANCE (""Currency:USDRON""))"),492.078466280542)</f>
        <v>492.07846628054199</v>
      </c>
      <c r="B33" s="87" t="s">
        <v>83</v>
      </c>
      <c r="C33" s="188">
        <v>50.5</v>
      </c>
      <c r="D33" s="88">
        <f ca="1">IFERROR(__xludf.DUMMYFUNCTION("GOOGLEFINANCE(""dov"")"),144.51)</f>
        <v>144.51</v>
      </c>
      <c r="E33" s="189">
        <f t="shared" ca="1" si="1"/>
        <v>2.8615841584158415</v>
      </c>
      <c r="F33" s="190" t="e">
        <f t="shared" ca="1" si="6"/>
        <v>#REF!</v>
      </c>
      <c r="G33" s="257" t="e">
        <f>Divident_all!#REF!</f>
        <v>#REF!</v>
      </c>
      <c r="H33" s="189">
        <v>10</v>
      </c>
      <c r="I33" s="88" t="e">
        <f t="shared" si="7"/>
        <v>#REF!</v>
      </c>
      <c r="J33" s="191" t="e">
        <f t="shared" si="8"/>
        <v>#REF!</v>
      </c>
      <c r="K33" s="192" t="s">
        <v>153</v>
      </c>
      <c r="L33" s="192" t="s">
        <v>154</v>
      </c>
      <c r="M33" s="193">
        <v>25000</v>
      </c>
    </row>
    <row r="34" spans="1:13">
      <c r="B34" s="87" t="s">
        <v>84</v>
      </c>
      <c r="C34" s="188">
        <v>133</v>
      </c>
      <c r="D34" s="88">
        <f ca="1">IFERROR(__xludf.DUMMYFUNCTION("GOOGLEFINANCE(""ph"")"),333.3)</f>
        <v>333.3</v>
      </c>
      <c r="E34" s="189">
        <f t="shared" ca="1" si="1"/>
        <v>2.5060150375939849</v>
      </c>
      <c r="F34" s="190" t="e">
        <f t="shared" ca="1" si="6"/>
        <v>#REF!</v>
      </c>
      <c r="G34" s="257" t="e">
        <f>Divident_all!#REF!</f>
        <v>#REF!</v>
      </c>
      <c r="H34" s="189">
        <v>10</v>
      </c>
      <c r="I34" s="88" t="e">
        <f t="shared" si="7"/>
        <v>#REF!</v>
      </c>
      <c r="J34" s="191" t="e">
        <f t="shared" si="8"/>
        <v>#REF!</v>
      </c>
      <c r="K34" s="194" t="s">
        <v>153</v>
      </c>
      <c r="L34" s="194" t="s">
        <v>154</v>
      </c>
      <c r="M34" s="193">
        <v>55090</v>
      </c>
    </row>
    <row r="35" spans="1:13">
      <c r="B35" s="87" t="s">
        <v>85</v>
      </c>
      <c r="C35" s="188">
        <v>52</v>
      </c>
      <c r="D35" s="88">
        <f ca="1">IFERROR(__xludf.DUMMYFUNCTION("GOOGLEFINANCE(""EMR"")"),84.4)</f>
        <v>84.4</v>
      </c>
      <c r="E35" s="189">
        <f t="shared" ca="1" si="1"/>
        <v>1.6230769230769231</v>
      </c>
      <c r="F35" s="190" t="e">
        <f t="shared" ca="1" si="6"/>
        <v>#REF!</v>
      </c>
      <c r="G35" s="257" t="e">
        <f>Divident_all!#REF!</f>
        <v>#REF!</v>
      </c>
      <c r="H35" s="189">
        <v>10</v>
      </c>
      <c r="I35" s="88" t="e">
        <f t="shared" si="7"/>
        <v>#REF!</v>
      </c>
      <c r="J35" s="191" t="e">
        <f t="shared" si="8"/>
        <v>#REF!</v>
      </c>
      <c r="K35" s="194" t="s">
        <v>153</v>
      </c>
      <c r="L35" s="194" t="s">
        <v>154</v>
      </c>
      <c r="M35" s="193">
        <v>86700</v>
      </c>
    </row>
    <row r="36" spans="1:13">
      <c r="B36" s="87" t="s">
        <v>86</v>
      </c>
      <c r="C36" s="188">
        <v>157</v>
      </c>
      <c r="D36" s="88">
        <f ca="1">IFERROR(__xludf.DUMMYFUNCTION("GOOGLEFINANCE(""CMI"")"),226.38)</f>
        <v>226.38</v>
      </c>
      <c r="E36" s="189">
        <f t="shared" ca="1" si="1"/>
        <v>1.4419108280254778</v>
      </c>
      <c r="F36" s="190" t="e">
        <f t="shared" ca="1" si="6"/>
        <v>#REF!</v>
      </c>
      <c r="G36" s="257" t="e">
        <f>Divident_all!#REF!</f>
        <v>#REF!</v>
      </c>
      <c r="H36" s="189">
        <v>10</v>
      </c>
      <c r="I36" s="88" t="e">
        <f t="shared" si="7"/>
        <v>#REF!</v>
      </c>
      <c r="J36" s="191" t="e">
        <f t="shared" si="8"/>
        <v>#REF!</v>
      </c>
      <c r="K36" s="194" t="s">
        <v>153</v>
      </c>
      <c r="L36" s="194" t="s">
        <v>154</v>
      </c>
      <c r="M36" s="193">
        <v>59900</v>
      </c>
    </row>
    <row r="37" spans="1:13">
      <c r="B37" s="87" t="s">
        <v>87</v>
      </c>
      <c r="C37" s="188">
        <v>126</v>
      </c>
      <c r="D37" s="88">
        <f ca="1">IFERROR(__xludf.DUMMYFUNCTION("GOOGLEFINANCE(""gd"")"),211.92)</f>
        <v>211.92</v>
      </c>
      <c r="E37" s="189">
        <f t="shared" ca="1" si="1"/>
        <v>1.6819047619047618</v>
      </c>
      <c r="F37" s="190" t="e">
        <f t="shared" ca="1" si="6"/>
        <v>#REF!</v>
      </c>
      <c r="G37" s="257" t="e">
        <f>Divident_all!#REF!</f>
        <v>#REF!</v>
      </c>
      <c r="H37" s="189">
        <v>10</v>
      </c>
      <c r="I37" s="88" t="e">
        <f t="shared" si="7"/>
        <v>#REF!</v>
      </c>
      <c r="J37" s="191" t="e">
        <f t="shared" si="8"/>
        <v>#REF!</v>
      </c>
      <c r="K37" s="194" t="s">
        <v>153</v>
      </c>
      <c r="L37" s="192" t="s">
        <v>155</v>
      </c>
      <c r="M37" s="193">
        <v>100000</v>
      </c>
    </row>
    <row r="38" spans="1:13">
      <c r="B38" s="87" t="s">
        <v>88</v>
      </c>
      <c r="C38" s="188">
        <v>120</v>
      </c>
      <c r="D38" s="88">
        <f ca="1">IFERROR(__xludf.DUMMYFUNCTION("GOOGLEFINANCE(""DE"")"),381.09)</f>
        <v>381.09</v>
      </c>
      <c r="E38" s="189">
        <f t="shared" ca="1" si="1"/>
        <v>3.1757499999999999</v>
      </c>
      <c r="F38" s="190" t="e">
        <f t="shared" ca="1" si="6"/>
        <v>#REF!</v>
      </c>
      <c r="G38" s="257" t="e">
        <f>Divident_all!#REF!</f>
        <v>#REF!</v>
      </c>
      <c r="H38" s="189">
        <v>10</v>
      </c>
      <c r="I38" s="88" t="e">
        <f t="shared" si="7"/>
        <v>#REF!</v>
      </c>
      <c r="J38" s="191" t="e">
        <f t="shared" si="8"/>
        <v>#REF!</v>
      </c>
      <c r="K38" s="194" t="s">
        <v>153</v>
      </c>
      <c r="L38" s="192" t="s">
        <v>156</v>
      </c>
      <c r="M38" s="193">
        <v>75550</v>
      </c>
    </row>
    <row r="39" spans="1:13">
      <c r="B39" s="87" t="s">
        <v>89</v>
      </c>
      <c r="C39" s="188">
        <v>120</v>
      </c>
      <c r="D39" s="88">
        <f ca="1">IFERROR(__xludf.DUMMYFUNCTION("GOOGLEFINANCE(""cat"")"),215.09)</f>
        <v>215.09</v>
      </c>
      <c r="E39" s="189">
        <f t="shared" ca="1" si="1"/>
        <v>1.7924166666666668</v>
      </c>
      <c r="F39" s="190" t="e">
        <f t="shared" ca="1" si="6"/>
        <v>#REF!</v>
      </c>
      <c r="G39" s="257" t="e">
        <f>Divident_all!#REF!</f>
        <v>#REF!</v>
      </c>
      <c r="H39" s="189">
        <v>10</v>
      </c>
      <c r="I39" s="88" t="e">
        <f t="shared" si="7"/>
        <v>#REF!</v>
      </c>
      <c r="J39" s="191" t="e">
        <f t="shared" si="8"/>
        <v>#REF!</v>
      </c>
      <c r="K39" s="194" t="s">
        <v>153</v>
      </c>
      <c r="L39" s="194" t="s">
        <v>156</v>
      </c>
      <c r="M39" s="193">
        <v>107700</v>
      </c>
    </row>
    <row r="40" spans="1:13">
      <c r="A40" s="195">
        <f ca="1">IFERROR(__xludf.DUMMYFUNCTION("sum(sum(F40:F48)*GOOGLEFINANCE (""Currency:USDRON""))"),1250.31216253727)</f>
        <v>1250.3121625372701</v>
      </c>
      <c r="B40" s="90" t="s">
        <v>90</v>
      </c>
      <c r="C40" s="196">
        <v>27.5</v>
      </c>
      <c r="D40" s="91">
        <f ca="1">IFERROR(__xludf.DUMMYFUNCTION("GOOGLEFINANCE(""epr"")"),42.3)</f>
        <v>42.3</v>
      </c>
      <c r="E40" s="197">
        <f ca="1">D40/(C40*3)</f>
        <v>0.5127272727272727</v>
      </c>
      <c r="F40" s="198" t="e">
        <f t="shared" ca="1" si="6"/>
        <v>#REF!</v>
      </c>
      <c r="G40" s="258" t="e">
        <f>Divident_all!#REF!</f>
        <v>#REF!</v>
      </c>
      <c r="H40" s="197">
        <v>10</v>
      </c>
      <c r="I40" s="91" t="e">
        <f t="shared" si="7"/>
        <v>#REF!</v>
      </c>
      <c r="J40" s="199" t="e">
        <f t="shared" si="8"/>
        <v>#REF!</v>
      </c>
      <c r="K40" s="200" t="s">
        <v>157</v>
      </c>
      <c r="L40" s="200" t="s">
        <v>158</v>
      </c>
      <c r="M40" s="201">
        <v>53</v>
      </c>
    </row>
    <row r="41" spans="1:13">
      <c r="B41" s="90" t="s">
        <v>91</v>
      </c>
      <c r="C41" s="196">
        <v>156</v>
      </c>
      <c r="D41" s="91">
        <f ca="1">IFERROR(__xludf.DUMMYFUNCTION("GOOGLEFINANCE(""amt"")"),196.75)</f>
        <v>196.75</v>
      </c>
      <c r="E41" s="197">
        <f t="shared" ref="E41:E43" ca="1" si="9">D41/C41</f>
        <v>1.2612179487179487</v>
      </c>
      <c r="F41" s="198" t="e">
        <f t="shared" ca="1" si="6"/>
        <v>#REF!</v>
      </c>
      <c r="G41" s="258" t="e">
        <f>Divident_all!#REF!</f>
        <v>#REF!</v>
      </c>
      <c r="H41" s="197">
        <v>10</v>
      </c>
      <c r="I41" s="91" t="e">
        <f t="shared" si="7"/>
        <v>#REF!</v>
      </c>
      <c r="J41" s="199" t="e">
        <f t="shared" si="8"/>
        <v>#REF!</v>
      </c>
      <c r="K41" s="202" t="s">
        <v>157</v>
      </c>
      <c r="L41" s="202" t="s">
        <v>158</v>
      </c>
      <c r="M41" s="201">
        <v>6378</v>
      </c>
    </row>
    <row r="42" spans="1:13">
      <c r="B42" s="90" t="s">
        <v>92</v>
      </c>
      <c r="C42" s="196">
        <v>25</v>
      </c>
      <c r="D42" s="91">
        <f ca="1">IFERROR(__xludf.DUMMYFUNCTION("GOOGLEFINANCE(""glpi"")"),51.05)</f>
        <v>51.05</v>
      </c>
      <c r="E42" s="197">
        <f t="shared" ca="1" si="9"/>
        <v>2.0419999999999998</v>
      </c>
      <c r="F42" s="198" t="e">
        <f t="shared" ca="1" si="6"/>
        <v>#REF!</v>
      </c>
      <c r="G42" s="258" t="e">
        <f>Divident_all!#REF!</f>
        <v>#REF!</v>
      </c>
      <c r="H42" s="197">
        <v>10</v>
      </c>
      <c r="I42" s="91" t="e">
        <f t="shared" si="7"/>
        <v>#REF!</v>
      </c>
      <c r="J42" s="199" t="e">
        <f t="shared" si="8"/>
        <v>#REF!</v>
      </c>
      <c r="K42" s="202" t="s">
        <v>157</v>
      </c>
      <c r="L42" s="202" t="s">
        <v>158</v>
      </c>
      <c r="M42" s="201">
        <v>17</v>
      </c>
    </row>
    <row r="43" spans="1:13">
      <c r="B43" s="90" t="s">
        <v>93</v>
      </c>
      <c r="C43" s="196">
        <v>108</v>
      </c>
      <c r="D43" s="91">
        <f ca="1">IFERROR(__xludf.DUMMYFUNCTION("GOOGLEFINANCE(""frt"")"),96.34)</f>
        <v>96.34</v>
      </c>
      <c r="E43" s="197">
        <f t="shared" ca="1" si="9"/>
        <v>0.89203703703703707</v>
      </c>
      <c r="F43" s="198" t="e">
        <f t="shared" ca="1" si="6"/>
        <v>#REF!</v>
      </c>
      <c r="G43" s="258" t="e">
        <f>Divident_all!#REF!</f>
        <v>#REF!</v>
      </c>
      <c r="H43" s="197">
        <v>10</v>
      </c>
      <c r="I43" s="91" t="e">
        <f t="shared" si="7"/>
        <v>#REF!</v>
      </c>
      <c r="J43" s="199" t="e">
        <f t="shared" si="8"/>
        <v>#REF!</v>
      </c>
      <c r="K43" s="202" t="s">
        <v>157</v>
      </c>
      <c r="L43" s="200" t="s">
        <v>159</v>
      </c>
      <c r="M43" s="201">
        <v>310</v>
      </c>
    </row>
    <row r="44" spans="1:13">
      <c r="B44" s="90" t="s">
        <v>94</v>
      </c>
      <c r="C44" s="196">
        <v>24.85</v>
      </c>
      <c r="D44" s="91">
        <f ca="1">IFERROR(__xludf.DUMMYFUNCTION("GOOGLEFINANCE(""o"")"),62.95)</f>
        <v>62.95</v>
      </c>
      <c r="E44" s="197">
        <f ca="1">D44/(C44*3)</f>
        <v>0.84439973172367533</v>
      </c>
      <c r="F44" s="198" t="e">
        <f t="shared" ca="1" si="6"/>
        <v>#REF!</v>
      </c>
      <c r="G44" s="258" t="e">
        <f>Divident_all!#REF!</f>
        <v>#REF!</v>
      </c>
      <c r="H44" s="197">
        <v>10</v>
      </c>
      <c r="I44" s="91" t="e">
        <f t="shared" si="7"/>
        <v>#REF!</v>
      </c>
      <c r="J44" s="199" t="e">
        <f t="shared" si="8"/>
        <v>#REF!</v>
      </c>
      <c r="K44" s="200" t="s">
        <v>157</v>
      </c>
      <c r="L44" s="200" t="s">
        <v>159</v>
      </c>
      <c r="M44" s="201">
        <v>380</v>
      </c>
    </row>
    <row r="45" spans="1:13">
      <c r="B45" s="90" t="s">
        <v>95</v>
      </c>
      <c r="C45" s="196">
        <v>55</v>
      </c>
      <c r="D45" s="91">
        <f ca="1">IFERROR(__xludf.DUMMYFUNCTION("GOOGLEFINANCE(""nnn"")"),44.44)</f>
        <v>44.44</v>
      </c>
      <c r="E45" s="197">
        <f t="shared" ref="E45:E64" ca="1" si="10">D45/C45</f>
        <v>0.80799999999999994</v>
      </c>
      <c r="F45" s="198" t="e">
        <f t="shared" ca="1" si="6"/>
        <v>#REF!</v>
      </c>
      <c r="G45" s="258" t="e">
        <f>Divident_all!#REF!</f>
        <v>#REF!</v>
      </c>
      <c r="H45" s="197">
        <v>10</v>
      </c>
      <c r="I45" s="91" t="e">
        <f t="shared" si="7"/>
        <v>#REF!</v>
      </c>
      <c r="J45" s="199" t="e">
        <f t="shared" si="8"/>
        <v>#REF!</v>
      </c>
      <c r="K45" s="202" t="s">
        <v>157</v>
      </c>
      <c r="L45" s="202" t="s">
        <v>159</v>
      </c>
      <c r="M45" s="201">
        <v>72</v>
      </c>
    </row>
    <row r="46" spans="1:13">
      <c r="B46" s="90" t="s">
        <v>96</v>
      </c>
      <c r="C46" s="196">
        <v>180</v>
      </c>
      <c r="D46" s="91">
        <f ca="1">IFERROR(__xludf.DUMMYFUNCTION("GOOGLEFINANCE(""spg"")"),109.55)</f>
        <v>109.55</v>
      </c>
      <c r="E46" s="197">
        <f t="shared" ca="1" si="10"/>
        <v>0.6086111111111111</v>
      </c>
      <c r="F46" s="198" t="e">
        <f t="shared" ca="1" si="6"/>
        <v>#REF!</v>
      </c>
      <c r="G46" s="258" t="e">
        <f>Divident_all!#REF!</f>
        <v>#REF!</v>
      </c>
      <c r="H46" s="197">
        <v>10</v>
      </c>
      <c r="I46" s="91" t="e">
        <f t="shared" si="7"/>
        <v>#REF!</v>
      </c>
      <c r="J46" s="199" t="e">
        <f t="shared" si="8"/>
        <v>#REF!</v>
      </c>
      <c r="K46" s="202" t="s">
        <v>157</v>
      </c>
      <c r="L46" s="202" t="s">
        <v>159</v>
      </c>
      <c r="M46" s="201">
        <v>2400</v>
      </c>
    </row>
    <row r="47" spans="1:13">
      <c r="B47" s="90" t="s">
        <v>97</v>
      </c>
      <c r="C47" s="196">
        <v>40</v>
      </c>
      <c r="D47" s="91">
        <f ca="1">IFERROR(__xludf.DUMMYFUNCTION("GOOGLEFINANCE(""gnl"")"),11.34)</f>
        <v>11.34</v>
      </c>
      <c r="E47" s="197">
        <f t="shared" ca="1" si="10"/>
        <v>0.28349999999999997</v>
      </c>
      <c r="F47" s="198" t="e">
        <f t="shared" ca="1" si="6"/>
        <v>#REF!</v>
      </c>
      <c r="G47" s="258" t="e">
        <f>Divident_all!#REF!</f>
        <v>#REF!</v>
      </c>
      <c r="H47" s="197">
        <v>10</v>
      </c>
      <c r="I47" s="91" t="e">
        <f t="shared" si="7"/>
        <v>#REF!</v>
      </c>
      <c r="J47" s="199" t="e">
        <f t="shared" si="8"/>
        <v>#REF!</v>
      </c>
      <c r="K47" s="202" t="s">
        <v>157</v>
      </c>
      <c r="L47" s="200" t="s">
        <v>160</v>
      </c>
      <c r="M47" s="201">
        <v>1</v>
      </c>
    </row>
    <row r="48" spans="1:13">
      <c r="B48" s="90" t="s">
        <v>98</v>
      </c>
      <c r="C48" s="196">
        <v>40</v>
      </c>
      <c r="D48" s="91">
        <f ca="1">IFERROR(__xludf.DUMMYFUNCTION("GOOGLEFINANCE(""abr"")"),11.75)</f>
        <v>11.75</v>
      </c>
      <c r="E48" s="197">
        <f t="shared" ca="1" si="10"/>
        <v>0.29375000000000001</v>
      </c>
      <c r="F48" s="198" t="e">
        <f t="shared" ca="1" si="6"/>
        <v>#REF!</v>
      </c>
      <c r="G48" s="258" t="e">
        <f>Divident_all!#REF!</f>
        <v>#REF!</v>
      </c>
      <c r="H48" s="197">
        <v>10</v>
      </c>
      <c r="I48" s="91" t="e">
        <f t="shared" si="7"/>
        <v>#REF!</v>
      </c>
      <c r="J48" s="199" t="e">
        <f t="shared" si="8"/>
        <v>#REF!</v>
      </c>
      <c r="K48" s="202" t="s">
        <v>157</v>
      </c>
      <c r="L48" s="200" t="s">
        <v>161</v>
      </c>
      <c r="M48" s="201">
        <v>579</v>
      </c>
    </row>
    <row r="49" spans="1:31">
      <c r="A49" s="203">
        <f ca="1">IFERROR(__xludf.DUMMYFUNCTION("sum(sum(F49:F53)*GOOGLEFINANCE (""Currency:USDRON""))"),441.721775564033)</f>
        <v>441.72177556403301</v>
      </c>
      <c r="B49" s="92" t="s">
        <v>99</v>
      </c>
      <c r="C49" s="204">
        <v>75</v>
      </c>
      <c r="D49" s="93">
        <f ca="1">IFERROR(__xludf.DUMMYFUNCTION("GOOGLEFINANCE(""QCOM"")"),108.78)</f>
        <v>108.78</v>
      </c>
      <c r="E49" s="205">
        <f t="shared" ca="1" si="10"/>
        <v>1.4503999999999999</v>
      </c>
      <c r="F49" s="206" t="e">
        <f t="shared" ca="1" si="6"/>
        <v>#REF!</v>
      </c>
      <c r="G49" s="259" t="e">
        <f>Divident_all!#REF!</f>
        <v>#REF!</v>
      </c>
      <c r="H49" s="205">
        <v>10</v>
      </c>
      <c r="I49" s="93" t="e">
        <f t="shared" si="7"/>
        <v>#REF!</v>
      </c>
      <c r="J49" s="207" t="e">
        <f t="shared" si="8"/>
        <v>#REF!</v>
      </c>
      <c r="K49" s="208" t="s">
        <v>162</v>
      </c>
      <c r="L49" s="208" t="s">
        <v>163</v>
      </c>
      <c r="M49" s="209">
        <v>45000</v>
      </c>
    </row>
    <row r="50" spans="1:31">
      <c r="B50" s="92" t="s">
        <v>100</v>
      </c>
      <c r="C50" s="204">
        <v>42.94</v>
      </c>
      <c r="D50" s="93">
        <f ca="1">IFERROR(__xludf.DUMMYFUNCTION("GOOGLEFINANCE(""tsm"")"),84.97)</f>
        <v>84.97</v>
      </c>
      <c r="E50" s="205">
        <f t="shared" ca="1" si="10"/>
        <v>1.9788076385654403</v>
      </c>
      <c r="F50" s="206" t="e">
        <f t="shared" ca="1" si="6"/>
        <v>#REF!</v>
      </c>
      <c r="G50" s="259" t="e">
        <f>Divident_all!#REF!</f>
        <v>#REF!</v>
      </c>
      <c r="H50" s="205">
        <v>21</v>
      </c>
      <c r="I50" s="93" t="e">
        <f t="shared" si="7"/>
        <v>#REF!</v>
      </c>
      <c r="J50" s="207" t="e">
        <f t="shared" si="8"/>
        <v>#REF!</v>
      </c>
      <c r="K50" s="210" t="s">
        <v>162</v>
      </c>
      <c r="L50" s="210" t="s">
        <v>163</v>
      </c>
      <c r="M50" s="209">
        <v>54193</v>
      </c>
    </row>
    <row r="51" spans="1:31">
      <c r="B51" s="92" t="s">
        <v>101</v>
      </c>
      <c r="C51" s="204">
        <v>68</v>
      </c>
      <c r="D51" s="93">
        <f ca="1">IFERROR(__xludf.DUMMYFUNCTION("GOOGLEFINANCE(""msf"")"),280.65)</f>
        <v>280.64999999999998</v>
      </c>
      <c r="E51" s="205">
        <f t="shared" ca="1" si="10"/>
        <v>4.1272058823529409</v>
      </c>
      <c r="F51" s="206" t="e">
        <f t="shared" ca="1" si="6"/>
        <v>#REF!</v>
      </c>
      <c r="G51" s="259" t="e">
        <f>Divident_all!#REF!</f>
        <v>#REF!</v>
      </c>
      <c r="H51" s="205">
        <v>10</v>
      </c>
      <c r="I51" s="93" t="e">
        <f t="shared" si="7"/>
        <v>#REF!</v>
      </c>
      <c r="J51" s="207" t="e">
        <f t="shared" si="8"/>
        <v>#REF!</v>
      </c>
      <c r="K51" s="210" t="s">
        <v>162</v>
      </c>
      <c r="L51" s="208" t="s">
        <v>164</v>
      </c>
      <c r="M51" s="209">
        <v>221000</v>
      </c>
    </row>
    <row r="52" spans="1:31">
      <c r="B52" s="92" t="s">
        <v>102</v>
      </c>
      <c r="C52" s="204">
        <v>23</v>
      </c>
      <c r="D52" s="93">
        <f ca="1">IFERROR(__xludf.DUMMYFUNCTION("GOOGLEFINANCE(""aapl"")"),173.57)</f>
        <v>173.57</v>
      </c>
      <c r="E52" s="205">
        <f t="shared" ca="1" si="10"/>
        <v>7.5465217391304344</v>
      </c>
      <c r="F52" s="206" t="e">
        <f t="shared" ca="1" si="6"/>
        <v>#REF!</v>
      </c>
      <c r="G52" s="259" t="e">
        <f>Divident_all!#REF!</f>
        <v>#REF!</v>
      </c>
      <c r="H52" s="205">
        <v>10</v>
      </c>
      <c r="I52" s="93" t="e">
        <f t="shared" si="7"/>
        <v>#REF!</v>
      </c>
      <c r="J52" s="207" t="e">
        <f t="shared" si="8"/>
        <v>#REF!</v>
      </c>
      <c r="K52" s="210" t="s">
        <v>162</v>
      </c>
      <c r="L52" s="208" t="s">
        <v>165</v>
      </c>
      <c r="M52" s="209">
        <v>154000</v>
      </c>
    </row>
    <row r="53" spans="1:31">
      <c r="B53" s="92" t="s">
        <v>103</v>
      </c>
      <c r="C53" s="204">
        <v>165</v>
      </c>
      <c r="D53" s="93">
        <f ca="1">IFERROR(__xludf.DUMMYFUNCTION("GOOGLEFINANCE(""ibm"")"),123.65)</f>
        <v>123.65</v>
      </c>
      <c r="E53" s="205">
        <f t="shared" ca="1" si="10"/>
        <v>0.74939393939393939</v>
      </c>
      <c r="F53" s="206" t="e">
        <f t="shared" ca="1" si="6"/>
        <v>#REF!</v>
      </c>
      <c r="G53" s="259" t="e">
        <f>Divident_all!#REF!</f>
        <v>#REF!</v>
      </c>
      <c r="H53" s="205">
        <v>10</v>
      </c>
      <c r="I53" s="93" t="e">
        <f t="shared" si="7"/>
        <v>#REF!</v>
      </c>
      <c r="J53" s="207" t="e">
        <f t="shared" si="8"/>
        <v>#REF!</v>
      </c>
      <c r="K53" s="210" t="s">
        <v>162</v>
      </c>
      <c r="L53" s="209" t="s">
        <v>166</v>
      </c>
      <c r="M53" s="209">
        <v>282100</v>
      </c>
    </row>
    <row r="54" spans="1:31">
      <c r="A54" s="211">
        <f ca="1">IFERROR(__xludf.DUMMYFUNCTION("sum(sum(F54:F56)*GOOGLEFINANCE (""Currency:USDRON""))"),289.680868274445)</f>
        <v>289.680868274445</v>
      </c>
      <c r="B54" s="94" t="s">
        <v>104</v>
      </c>
      <c r="C54" s="212">
        <v>113</v>
      </c>
      <c r="D54" s="95">
        <f ca="1">IFERROR(__xludf.DUMMYFUNCTION("GOOGLEFINANCE(""jnj"")"),162.68)</f>
        <v>162.68</v>
      </c>
      <c r="E54" s="213">
        <f t="shared" ca="1" si="10"/>
        <v>1.439646017699115</v>
      </c>
      <c r="F54" s="214" t="e">
        <f t="shared" ca="1" si="6"/>
        <v>#REF!</v>
      </c>
      <c r="G54" s="260" t="e">
        <f>Divident_all!#REF!</f>
        <v>#REF!</v>
      </c>
      <c r="H54" s="215">
        <v>10</v>
      </c>
      <c r="I54" s="216" t="e">
        <f t="shared" si="7"/>
        <v>#REF!</v>
      </c>
      <c r="J54" s="217" t="e">
        <f t="shared" ref="J54:J64" si="11">(G54*C54)/100-I54</f>
        <v>#REF!</v>
      </c>
      <c r="K54" s="218" t="s">
        <v>167</v>
      </c>
      <c r="L54" s="218" t="s">
        <v>168</v>
      </c>
      <c r="M54" s="219">
        <v>141700</v>
      </c>
    </row>
    <row r="55" spans="1:31">
      <c r="B55" s="96" t="s">
        <v>105</v>
      </c>
      <c r="C55" s="212">
        <v>41</v>
      </c>
      <c r="D55" s="95">
        <f ca="1">IFERROR(__xludf.DUMMYFUNCTION("GOOGLEFINANCE(""pfe"")"),38.49)</f>
        <v>38.49</v>
      </c>
      <c r="E55" s="213">
        <f t="shared" ca="1" si="10"/>
        <v>0.93878048780487811</v>
      </c>
      <c r="F55" s="214" t="e">
        <f t="shared" ca="1" si="6"/>
        <v>#REF!</v>
      </c>
      <c r="G55" s="260" t="e">
        <f>Divident_all!#REF!</f>
        <v>#REF!</v>
      </c>
      <c r="H55" s="215">
        <v>10</v>
      </c>
      <c r="I55" s="216" t="e">
        <f t="shared" si="7"/>
        <v>#REF!</v>
      </c>
      <c r="J55" s="217" t="e">
        <f t="shared" si="11"/>
        <v>#REF!</v>
      </c>
      <c r="K55" s="220" t="s">
        <v>167</v>
      </c>
      <c r="L55" s="220" t="s">
        <v>168</v>
      </c>
      <c r="M55" s="219">
        <v>79000</v>
      </c>
    </row>
    <row r="56" spans="1:31">
      <c r="B56" s="96" t="s">
        <v>106</v>
      </c>
      <c r="C56" s="212">
        <v>148</v>
      </c>
      <c r="D56" s="95">
        <f ca="1">IFERROR(__xludf.DUMMYFUNCTION("GOOGLEFINANCE(""abbv"")"),148.03)</f>
        <v>148.03</v>
      </c>
      <c r="E56" s="213">
        <f t="shared" ca="1" si="10"/>
        <v>1.0002027027027027</v>
      </c>
      <c r="F56" s="214" t="e">
        <f t="shared" ca="1" si="6"/>
        <v>#REF!</v>
      </c>
      <c r="G56" s="260" t="e">
        <f>Divident_all!#REF!</f>
        <v>#REF!</v>
      </c>
      <c r="H56" s="215">
        <v>10</v>
      </c>
      <c r="I56" s="216" t="e">
        <f t="shared" si="7"/>
        <v>#REF!</v>
      </c>
      <c r="J56" s="217" t="e">
        <f t="shared" si="11"/>
        <v>#REF!</v>
      </c>
      <c r="K56" s="220" t="s">
        <v>167</v>
      </c>
      <c r="L56" s="220" t="s">
        <v>168</v>
      </c>
      <c r="M56" s="219">
        <v>50000</v>
      </c>
    </row>
    <row r="57" spans="1:31">
      <c r="A57" s="221">
        <f ca="1">IFERROR(__xludf.DUMMYFUNCTION("sum(sum(F57:F58)*GOOGLEFINANCE (""Currency:USDRON""))"),167.812217904659)</f>
        <v>167.81221790465901</v>
      </c>
      <c r="B57" s="97" t="s">
        <v>107</v>
      </c>
      <c r="C57" s="99">
        <v>65.25</v>
      </c>
      <c r="D57" s="98">
        <f ca="1">IFERROR(__xludf.DUMMYFUNCTION("GOOGLEFINANCE(""vz"")"),37.83)</f>
        <v>37.83</v>
      </c>
      <c r="E57" s="222">
        <f t="shared" ca="1" si="10"/>
        <v>0.57977011494252872</v>
      </c>
      <c r="F57" s="223" t="e">
        <f t="shared" ca="1" si="6"/>
        <v>#REF!</v>
      </c>
      <c r="G57" s="224" t="e">
        <f>Divident_all!#REF!</f>
        <v>#REF!</v>
      </c>
      <c r="H57" s="225">
        <v>10</v>
      </c>
      <c r="I57" s="226" t="e">
        <f t="shared" si="7"/>
        <v>#REF!</v>
      </c>
      <c r="J57" s="227" t="e">
        <f t="shared" si="11"/>
        <v>#REF!</v>
      </c>
      <c r="K57" s="228" t="s">
        <v>169</v>
      </c>
      <c r="L57" s="228" t="s">
        <v>170</v>
      </c>
      <c r="M57" s="229">
        <v>119400</v>
      </c>
    </row>
    <row r="58" spans="1:31">
      <c r="B58" s="99" t="s">
        <v>108</v>
      </c>
      <c r="C58" s="99">
        <v>27.75</v>
      </c>
      <c r="D58" s="98">
        <f ca="1">IFERROR(__xludf.DUMMYFUNCTION("GOOGLEFINANCE(""t"")"),17.13)</f>
        <v>17.13</v>
      </c>
      <c r="E58" s="222">
        <f t="shared" ca="1" si="10"/>
        <v>0.61729729729729721</v>
      </c>
      <c r="F58" s="223" t="e">
        <f t="shared" ca="1" si="6"/>
        <v>#REF!</v>
      </c>
      <c r="G58" s="224" t="e">
        <f>Divident_all!#REF!</f>
        <v>#REF!</v>
      </c>
      <c r="H58" s="225">
        <v>10</v>
      </c>
      <c r="I58" s="226" t="e">
        <f t="shared" si="7"/>
        <v>#REF!</v>
      </c>
      <c r="J58" s="227" t="e">
        <f t="shared" si="11"/>
        <v>#REF!</v>
      </c>
      <c r="K58" s="230" t="s">
        <v>169</v>
      </c>
      <c r="L58" s="230" t="s">
        <v>170</v>
      </c>
      <c r="M58" s="231">
        <v>172400</v>
      </c>
    </row>
    <row r="59" spans="1:31">
      <c r="A59" s="232">
        <f ca="1">IFERROR(__xludf.DUMMYFUNCTION("sum(sum(F59:F63)*GOOGLEFINANCE (""Currency:USDRON""))"),499.137113379428)</f>
        <v>499.137113379428</v>
      </c>
      <c r="B59" s="100" t="s">
        <v>109</v>
      </c>
      <c r="C59" s="100">
        <v>68</v>
      </c>
      <c r="D59" s="101">
        <f ca="1">IFERROR(__xludf.DUMMYFUNCTION("GOOGLEFINANCE(""so"")"),74.94)</f>
        <v>74.94</v>
      </c>
      <c r="E59" s="233">
        <f t="shared" ca="1" si="10"/>
        <v>1.1020588235294118</v>
      </c>
      <c r="F59" s="234" t="e">
        <f t="shared" ca="1" si="6"/>
        <v>#REF!</v>
      </c>
      <c r="G59" s="261" t="e">
        <f>Divident_all!#REF!</f>
        <v>#REF!</v>
      </c>
      <c r="H59" s="235">
        <v>10</v>
      </c>
      <c r="I59" s="236" t="e">
        <f t="shared" si="7"/>
        <v>#REF!</v>
      </c>
      <c r="J59" s="237" t="e">
        <f t="shared" si="11"/>
        <v>#REF!</v>
      </c>
      <c r="K59" s="238" t="s">
        <v>171</v>
      </c>
      <c r="L59" s="238" t="s">
        <v>172</v>
      </c>
      <c r="M59" s="239">
        <v>27027</v>
      </c>
      <c r="N59" s="240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</row>
    <row r="60" spans="1:31">
      <c r="A60" s="172"/>
      <c r="B60" s="100" t="s">
        <v>110</v>
      </c>
      <c r="C60" s="100">
        <v>100.5</v>
      </c>
      <c r="D60" s="101">
        <f ca="1">IFERROR(__xludf.DUMMYFUNCTION("GOOGLEFINANCE(""DUK"")"),99.36)</f>
        <v>99.36</v>
      </c>
      <c r="E60" s="233">
        <f t="shared" ca="1" si="10"/>
        <v>0.98865671641791042</v>
      </c>
      <c r="F60" s="234" t="e">
        <f t="shared" ca="1" si="6"/>
        <v>#REF!</v>
      </c>
      <c r="G60" s="261" t="e">
        <f>Divident_all!#REF!</f>
        <v>#REF!</v>
      </c>
      <c r="H60" s="235">
        <v>10</v>
      </c>
      <c r="I60" s="236" t="e">
        <f t="shared" si="7"/>
        <v>#REF!</v>
      </c>
      <c r="J60" s="237" t="e">
        <f t="shared" si="11"/>
        <v>#REF!</v>
      </c>
      <c r="K60" s="241" t="s">
        <v>171</v>
      </c>
      <c r="L60" s="241" t="s">
        <v>172</v>
      </c>
      <c r="M60" s="239">
        <v>27605</v>
      </c>
      <c r="N60" s="240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</row>
    <row r="61" spans="1:31">
      <c r="A61" s="172"/>
      <c r="B61" s="100" t="s">
        <v>111</v>
      </c>
      <c r="C61" s="100">
        <v>73.75</v>
      </c>
      <c r="D61" s="101">
        <f ca="1">IFERROR(__xludf.DUMMYFUNCTION("GOOGLEFINANCE(""EIX"")"),73.56)</f>
        <v>73.56</v>
      </c>
      <c r="E61" s="233">
        <f t="shared" ca="1" si="10"/>
        <v>0.99742372881355934</v>
      </c>
      <c r="F61" s="234" t="e">
        <f t="shared" ca="1" si="6"/>
        <v>#REF!</v>
      </c>
      <c r="G61" s="261" t="e">
        <f>Divident_all!#REF!</f>
        <v>#REF!</v>
      </c>
      <c r="H61" s="235">
        <v>10</v>
      </c>
      <c r="I61" s="236" t="e">
        <f t="shared" si="7"/>
        <v>#REF!</v>
      </c>
      <c r="J61" s="237" t="e">
        <f t="shared" si="11"/>
        <v>#REF!</v>
      </c>
      <c r="K61" s="241" t="s">
        <v>171</v>
      </c>
      <c r="L61" s="241" t="s">
        <v>172</v>
      </c>
      <c r="M61" s="239">
        <v>13003</v>
      </c>
      <c r="N61" s="240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2"/>
      <c r="AC61" s="172"/>
      <c r="AD61" s="172"/>
      <c r="AE61" s="172"/>
    </row>
    <row r="62" spans="1:31">
      <c r="A62" s="172"/>
      <c r="B62" s="100" t="s">
        <v>112</v>
      </c>
      <c r="C62" s="100">
        <v>39.75</v>
      </c>
      <c r="D62" s="101">
        <f ca="1">IFERROR(__xludf.DUMMYFUNCTION("GOOGLEFINANCE(""awr"")"),90.88)</f>
        <v>90.88</v>
      </c>
      <c r="E62" s="233">
        <f t="shared" ca="1" si="10"/>
        <v>2.2862893081761007</v>
      </c>
      <c r="F62" s="234" t="e">
        <f t="shared" ca="1" si="6"/>
        <v>#REF!</v>
      </c>
      <c r="G62" s="261" t="e">
        <f>Divident_all!#REF!</f>
        <v>#REF!</v>
      </c>
      <c r="H62" s="235">
        <v>10</v>
      </c>
      <c r="I62" s="236" t="e">
        <f t="shared" si="7"/>
        <v>#REF!</v>
      </c>
      <c r="J62" s="237" t="e">
        <f t="shared" si="11"/>
        <v>#REF!</v>
      </c>
      <c r="K62" s="241" t="s">
        <v>171</v>
      </c>
      <c r="L62" s="238" t="s">
        <v>173</v>
      </c>
      <c r="M62" s="239">
        <v>808</v>
      </c>
      <c r="N62" s="240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</row>
    <row r="63" spans="1:31">
      <c r="A63" s="172"/>
      <c r="B63" s="100" t="s">
        <v>113</v>
      </c>
      <c r="C63" s="100">
        <v>48.5</v>
      </c>
      <c r="D63" s="101">
        <f ca="1">IFERROR(__xludf.DUMMYFUNCTION("GOOGLEFINANCE(""NWN"")"),47.05)</f>
        <v>47.05</v>
      </c>
      <c r="E63" s="233">
        <f t="shared" ca="1" si="10"/>
        <v>0.97010309278350515</v>
      </c>
      <c r="F63" s="234" t="e">
        <f t="shared" ca="1" si="6"/>
        <v>#REF!</v>
      </c>
      <c r="G63" s="261" t="e">
        <f>Divident_all!#REF!</f>
        <v>#REF!</v>
      </c>
      <c r="H63" s="235">
        <v>10</v>
      </c>
      <c r="I63" s="236" t="e">
        <f t="shared" si="7"/>
        <v>#REF!</v>
      </c>
      <c r="J63" s="237" t="e">
        <f t="shared" si="11"/>
        <v>#REF!</v>
      </c>
      <c r="K63" s="241" t="s">
        <v>171</v>
      </c>
      <c r="L63" s="238" t="s">
        <v>174</v>
      </c>
      <c r="M63" s="239">
        <v>1237</v>
      </c>
      <c r="N63" s="240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</row>
    <row r="64" spans="1:31">
      <c r="A64" s="242">
        <f ca="1">IFERROR(__xludf.DUMMYFUNCTION("sum(sum(F64)*GOOGLEFINANCE (""Currency:USDRON""))"),115.774167167609)</f>
        <v>115.77416716760899</v>
      </c>
      <c r="B64" s="243" t="s">
        <v>114</v>
      </c>
      <c r="C64" s="243">
        <v>175</v>
      </c>
      <c r="D64" s="244">
        <f ca="1">IFERROR(__xludf.DUMMYFUNCTION("GOOGLEFINANCE(""APD"")"),296.7)</f>
        <v>296.7</v>
      </c>
      <c r="E64" s="245">
        <f t="shared" ca="1" si="10"/>
        <v>1.6954285714285713</v>
      </c>
      <c r="F64" s="246" t="e">
        <f t="shared" ca="1" si="6"/>
        <v>#REF!</v>
      </c>
      <c r="G64" s="262" t="e">
        <f>Divident_all!#REF!</f>
        <v>#REF!</v>
      </c>
      <c r="H64" s="247">
        <v>10</v>
      </c>
      <c r="I64" s="244" t="e">
        <f t="shared" si="7"/>
        <v>#REF!</v>
      </c>
      <c r="J64" s="248" t="e">
        <f t="shared" si="11"/>
        <v>#REF!</v>
      </c>
      <c r="K64" s="249" t="s">
        <v>175</v>
      </c>
      <c r="L64" s="250" t="s">
        <v>176</v>
      </c>
      <c r="M64" s="251">
        <v>20000</v>
      </c>
      <c r="N64" s="240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934"/>
  <sheetViews>
    <sheetView tabSelected="1" workbookViewId="0">
      <selection activeCell="H14" sqref="H14"/>
    </sheetView>
  </sheetViews>
  <sheetFormatPr defaultColWidth="12.5703125" defaultRowHeight="15.75" customHeight="1"/>
  <sheetData>
    <row r="1" spans="1:12" ht="12.75">
      <c r="C1" s="49">
        <v>2022</v>
      </c>
      <c r="D1" s="263"/>
      <c r="E1" s="263"/>
      <c r="F1" s="263"/>
      <c r="G1" s="264"/>
      <c r="H1" s="49">
        <v>2023</v>
      </c>
      <c r="I1" s="263"/>
      <c r="J1" s="263"/>
      <c r="K1" s="263"/>
      <c r="L1" s="264"/>
    </row>
    <row r="2" spans="1:12" ht="12.75">
      <c r="B2" s="50" t="s">
        <v>177</v>
      </c>
      <c r="C2" s="107" t="s">
        <v>178</v>
      </c>
      <c r="D2" s="107" t="s">
        <v>179</v>
      </c>
      <c r="E2" s="107" t="s">
        <v>180</v>
      </c>
      <c r="F2" s="107" t="s">
        <v>181</v>
      </c>
      <c r="G2" s="265" t="s">
        <v>182</v>
      </c>
      <c r="H2" s="107" t="s">
        <v>178</v>
      </c>
      <c r="I2" s="107" t="s">
        <v>179</v>
      </c>
      <c r="J2" s="107" t="s">
        <v>180</v>
      </c>
      <c r="K2" s="107" t="s">
        <v>181</v>
      </c>
      <c r="L2" s="265" t="s">
        <v>182</v>
      </c>
    </row>
    <row r="3" spans="1:12" ht="15.75" customHeight="1">
      <c r="A3" s="108" t="str">
        <f>Divident_all!B3</f>
        <v>AMD</v>
      </c>
      <c r="B3" s="266">
        <f t="shared" ref="B3" si="0">G3+L3</f>
        <v>128.97</v>
      </c>
      <c r="C3" s="110">
        <v>0</v>
      </c>
      <c r="D3" s="109">
        <v>0</v>
      </c>
      <c r="E3" s="109">
        <f>Q_invest_detail!J3</f>
        <v>34.980000000000004</v>
      </c>
      <c r="F3" s="110">
        <f>Q_invest_detail!M3</f>
        <v>53.989999999999995</v>
      </c>
      <c r="G3" s="267">
        <f t="shared" ref="G3" si="1">SUM(C3:F3)</f>
        <v>88.97</v>
      </c>
      <c r="H3" s="109">
        <f>Q_invest_detail!Q3</f>
        <v>40</v>
      </c>
      <c r="I3" s="109">
        <f>Q_invest_detail!T3</f>
        <v>0</v>
      </c>
      <c r="J3" s="109">
        <f>Q_invest_detail!W3</f>
        <v>0</v>
      </c>
      <c r="K3" s="110">
        <f>Q_invest_detail!Z3</f>
        <v>0</v>
      </c>
      <c r="L3" s="268">
        <f t="shared" ref="L3" si="2">SUM(H3:K3)</f>
        <v>40</v>
      </c>
    </row>
    <row r="934" spans="1:1" ht="17.25">
      <c r="A934" s="120">
        <f>Divident_all!B935</f>
        <v>0</v>
      </c>
    </row>
  </sheetData>
  <conditionalFormatting sqref="C3:L3">
    <cfRule type="containsBlanks" dxfId="10" priority="1">
      <formula>LEN(TRIM(C3))=0</formula>
    </cfRule>
  </conditionalFormatting>
  <conditionalFormatting sqref="C3:L3">
    <cfRule type="cellIs" dxfId="9" priority="2" operator="equal">
      <formula>0</formula>
    </cfRule>
  </conditionalFormatting>
  <conditionalFormatting sqref="C3:L3">
    <cfRule type="cellIs" dxfId="7" priority="4" operator="greaterThanOrEqual">
      <formula>100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27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/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15</v>
      </c>
      <c r="L2" s="276">
        <f ca="1">((L4*4)*100)/(500+K2)</f>
        <v>5.8525272600051794</v>
      </c>
      <c r="M2" s="13"/>
      <c r="N2" s="13"/>
      <c r="O2" s="13"/>
      <c r="P2" s="13"/>
    </row>
    <row r="3" spans="1:33" ht="15.75" customHeight="1">
      <c r="A3" s="277" t="s">
        <v>30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AVERAGE(C5:C23)</f>
        <v>#REF!</v>
      </c>
      <c r="D4" s="124" t="e">
        <f t="shared" si="0"/>
        <v>#REF!</v>
      </c>
      <c r="E4" s="278">
        <f t="shared" ca="1" si="0"/>
        <v>0.56709421087719958</v>
      </c>
      <c r="F4" s="122"/>
      <c r="G4" s="253">
        <f ca="1">SUM(G5:G23)</f>
        <v>115.1558517060954</v>
      </c>
      <c r="H4" s="122">
        <f>500+K2-SUM(H5:H23)</f>
        <v>0</v>
      </c>
      <c r="I4" s="124"/>
      <c r="J4" s="124" t="e">
        <f t="shared" ref="J4:L4" ca="1" si="1">SUM(J5:J23)</f>
        <v>#REF!</v>
      </c>
      <c r="K4" s="129">
        <f t="shared" ca="1" si="1"/>
        <v>24.320868121879482</v>
      </c>
      <c r="L4" s="129">
        <f t="shared" ca="1" si="1"/>
        <v>7.5351288472566678</v>
      </c>
      <c r="M4" s="123">
        <f t="shared" ref="M4:M23" ca="1" si="2">L4/K4</f>
        <v>0.30982154129925704</v>
      </c>
      <c r="N4" s="131"/>
      <c r="O4" s="131"/>
      <c r="P4" s="132"/>
    </row>
    <row r="5" spans="1:33" ht="12.75">
      <c r="A5" s="279"/>
      <c r="B5" s="280" t="e">
        <f>Divident_all!#REF!</f>
        <v>#REF!</v>
      </c>
      <c r="C5" s="280" t="e">
        <f>Divident_all!#REF!</f>
        <v>#REF!</v>
      </c>
      <c r="D5" s="281" t="e">
        <f>Divident_all!#REF!</f>
        <v>#REF!</v>
      </c>
      <c r="E5" s="282">
        <f ca="1">IFERROR(__xludf.DUMMYFUNCTION("(((H5/GOOGLEFINANCE (""Currency:USDRON""))/D5)+F5)"),3.57759972951767)</f>
        <v>3.57759972951767</v>
      </c>
      <c r="F5" s="280" t="e">
        <f>Divident_all!#REF!</f>
        <v>#REF!</v>
      </c>
      <c r="G5" s="281">
        <f ca="1">IFERROR(__xludf.DUMMYFUNCTION("H5/GOOGLEFINANCE (""Currency:USDRON"")"),8.94414382183265)</f>
        <v>8.9441438218326503</v>
      </c>
      <c r="H5" s="283">
        <v>40</v>
      </c>
      <c r="I5" s="284" t="e">
        <f t="shared" ref="I5:I12" si="3">D5/C5</f>
        <v>#REF!</v>
      </c>
      <c r="J5" s="281" t="e">
        <f t="shared" ref="J5:J23" ca="1" si="4">((E5*C5)/100)</f>
        <v>#REF!</v>
      </c>
      <c r="K5" s="285">
        <f ca="1">IFERROR(__xludf.DUMMYFUNCTION("(F5*C5)/100*GOOGLEFINANCE (""Currency:USDRON"")"),5.290104200304)</f>
        <v>5.2901042003040004</v>
      </c>
      <c r="L5" s="286">
        <f ca="1">IFERROR(__xludf.DUMMYFUNCTION("(((H5/GOOGLEFINANCE (""Currency:USDRON""))/D5)*C5)/100*GOOGLEFINANCE (""Currency:USDRON"")"),1.42978723404255)</f>
        <v>1.4297872340425499</v>
      </c>
      <c r="M5" s="287">
        <f t="shared" ca="1" si="2"/>
        <v>0.27027581686583524</v>
      </c>
      <c r="N5" s="288" t="e">
        <f>Divident_all!#REF!</f>
        <v>#REF!</v>
      </c>
      <c r="O5" s="288" t="e">
        <f>Divident_all!#REF!</f>
        <v>#REF!</v>
      </c>
      <c r="P5" s="289" t="e">
        <f>Divident_all!#REF!</f>
        <v>#REF!</v>
      </c>
      <c r="R5" s="290"/>
    </row>
    <row r="6" spans="1:33" ht="12.75">
      <c r="A6" s="279"/>
      <c r="B6" s="291" t="str">
        <f>Divident_all!B3</f>
        <v>AMD</v>
      </c>
      <c r="C6" s="291">
        <f>Divident_all!D3</f>
        <v>62.5</v>
      </c>
      <c r="D6" s="292">
        <f ca="1">Divident_all!E3</f>
        <v>24.84</v>
      </c>
      <c r="E6" s="293">
        <f ca="1">IFERROR(__xludf.DUMMYFUNCTION("(((H6/GOOGLEFINANCE (""Currency:USDRON""))/D6)+F6)"),1.36824720216717)</f>
        <v>1.3682472021671701</v>
      </c>
      <c r="F6" s="291">
        <f>Divident_all!I3</f>
        <v>1.0081769999999999</v>
      </c>
      <c r="G6" s="292">
        <f ca="1">IFERROR(__xludf.DUMMYFUNCTION("H6/GOOGLEFINANCE (""Currency:USDRON"")"),8.94414382183265)</f>
        <v>8.9441438218326503</v>
      </c>
      <c r="H6" s="294">
        <v>40</v>
      </c>
      <c r="I6" s="295">
        <f t="shared" ca="1" si="3"/>
        <v>0.39744000000000002</v>
      </c>
      <c r="J6" s="292">
        <f t="shared" ca="1" si="4"/>
        <v>0.85515450135448134</v>
      </c>
      <c r="K6" s="296">
        <f ca="1">IFERROR(__xludf.DUMMYFUNCTION("(F6*C6)/100*GOOGLEFINANCE (""Currency:USDRON"")"),2.81798073712499)</f>
        <v>2.8179807371249899</v>
      </c>
      <c r="L6" s="297">
        <f ca="1">IFERROR(__xludf.DUMMYFUNCTION("(((H6/GOOGLEFINANCE (""Currency:USDRON""))/D6)*C6)/100*GOOGLEFINANCE (""Currency:USDRON"")"),1.00644122383252)</f>
        <v>1.00644122383252</v>
      </c>
      <c r="M6" s="298">
        <f t="shared" ca="1" si="2"/>
        <v>0.3571497883478541</v>
      </c>
      <c r="N6" s="299" t="str">
        <f>Divident_all!M3</f>
        <v>Consumer Cyclical</v>
      </c>
      <c r="O6" s="299" t="str">
        <f>Divident_all!N3</f>
        <v>Auto &amp; Truck Dealerships</v>
      </c>
      <c r="P6" s="300">
        <f>Divident_all!O3</f>
        <v>12584</v>
      </c>
      <c r="Q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</row>
    <row r="7" spans="1:33" ht="12.75">
      <c r="A7" s="279"/>
      <c r="B7" s="301" t="e">
        <f>Divident_all!#REF!</f>
        <v>#REF!</v>
      </c>
      <c r="C7" s="301" t="e">
        <f>Divident_all!#REF!</f>
        <v>#REF!</v>
      </c>
      <c r="D7" s="302" t="e">
        <f>Divident_all!#REF!</f>
        <v>#REF!</v>
      </c>
      <c r="E7" s="303">
        <f ca="1">IFERROR(__xludf.DUMMYFUNCTION("(((H7/GOOGLEFINANCE (""Currency:USDRON""))/D7)+F7)"),0.713725887215754)</f>
        <v>0.71372588721575403</v>
      </c>
      <c r="F7" s="301" t="e">
        <f>Divident_all!#REF!</f>
        <v>#REF!</v>
      </c>
      <c r="G7" s="302">
        <f ca="1">IFERROR(__xludf.DUMMYFUNCTION("H7/GOOGLEFINANCE (""Currency:USDRON"")"),7.82612584410357)</f>
        <v>7.8261258441035704</v>
      </c>
      <c r="H7" s="304">
        <v>35</v>
      </c>
      <c r="I7" s="305" t="e">
        <f t="shared" si="3"/>
        <v>#REF!</v>
      </c>
      <c r="J7" s="302" t="e">
        <f t="shared" ca="1" si="4"/>
        <v>#REF!</v>
      </c>
      <c r="K7" s="306">
        <f ca="1">IFERROR(__xludf.DUMMYFUNCTION("(F7*C7)/100*GOOGLEFINANCE (""Currency:USDRON"")"),2.295761741876)</f>
        <v>2.2957617418759999</v>
      </c>
      <c r="L7" s="307">
        <f ca="1">IFERROR(__xludf.DUMMYFUNCTION("(((H7/GOOGLEFINANCE (""Currency:USDRON""))/D7)*C7)/100*GOOGLEFINANCE (""Currency:USDRON"")"),0.704647676161919)</f>
        <v>0.70464767616191903</v>
      </c>
      <c r="M7" s="308">
        <f t="shared" ca="1" si="2"/>
        <v>0.30693414883118952</v>
      </c>
      <c r="N7" s="309" t="e">
        <f>Divident_all!#REF!</f>
        <v>#REF!</v>
      </c>
      <c r="O7" s="309" t="e">
        <f>Divident_all!#REF!</f>
        <v>#REF!</v>
      </c>
      <c r="P7" s="310" t="e">
        <f>Divident_all!#REF!</f>
        <v>#REF!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279"/>
      <c r="B8" s="301" t="e">
        <f>Divident_all!#REF!</f>
        <v>#REF!</v>
      </c>
      <c r="C8" s="301" t="e">
        <f>Divident_all!#REF!</f>
        <v>#REF!</v>
      </c>
      <c r="D8" s="302" t="e">
        <f>Divident_all!#REF!</f>
        <v>#REF!</v>
      </c>
      <c r="E8" s="303">
        <f ca="1">IFERROR(__xludf.DUMMYFUNCTION("(((H8/GOOGLEFINANCE (""Currency:USDRON""))/D8)+F8)"),0.724676995620886)</f>
        <v>0.72467699562088606</v>
      </c>
      <c r="F8" s="301" t="e">
        <f>Divident_all!#REF!</f>
        <v>#REF!</v>
      </c>
      <c r="G8" s="302">
        <f ca="1">IFERROR(__xludf.DUMMYFUNCTION("H8/GOOGLEFINANCE (""Currency:USDRON"")"),7.82612584410357)</f>
        <v>7.8261258441035704</v>
      </c>
      <c r="H8" s="304">
        <v>35</v>
      </c>
      <c r="I8" s="305" t="e">
        <f t="shared" si="3"/>
        <v>#REF!</v>
      </c>
      <c r="J8" s="302" t="e">
        <f t="shared" ca="1" si="4"/>
        <v>#REF!</v>
      </c>
      <c r="K8" s="306">
        <f ca="1">IFERROR(__xludf.DUMMYFUNCTION("(F8*C8)/100*GOOGLEFINANCE (""Currency:USDRON"")"),1.5939746010344)</f>
        <v>1.5939746010344</v>
      </c>
      <c r="L8" s="307">
        <f ca="1">IFERROR(__xludf.DUMMYFUNCTION("(((H8/GOOGLEFINANCE (""Currency:USDRON""))/D8)*C8)/100*GOOGLEFINANCE (""Currency:USDRON"")"),0.694101123595505)</f>
        <v>0.69410112359550502</v>
      </c>
      <c r="M8" s="308">
        <f t="shared" ca="1" si="2"/>
        <v>0.43545306377220339</v>
      </c>
      <c r="N8" s="309" t="e">
        <f>Divident_all!#REF!</f>
        <v>#REF!</v>
      </c>
      <c r="O8" s="309" t="e">
        <f>Divident_all!#REF!</f>
        <v>#REF!</v>
      </c>
      <c r="P8" s="310" t="e">
        <f>Divident_all!#REF!</f>
        <v>#REF!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279"/>
      <c r="B9" s="311" t="e">
        <f>Divident_all!#REF!</f>
        <v>#REF!</v>
      </c>
      <c r="C9" s="311" t="e">
        <f>Divident_all!#REF!+Divident_special!C20</f>
        <v>#REF!</v>
      </c>
      <c r="D9" s="312" t="e">
        <f>Divident_all!#REF!</f>
        <v>#REF!</v>
      </c>
      <c r="E9" s="313">
        <f ca="1">IFERROR(__xludf.DUMMYFUNCTION("(((H9/GOOGLEFINANCE (""Currency:USDRON""))/D9)+F9)"),0.600859610883708)</f>
        <v>0.60085961088370798</v>
      </c>
      <c r="F9" s="311" t="e">
        <f>Divident_all!#REF!</f>
        <v>#REF!</v>
      </c>
      <c r="G9" s="312">
        <f ca="1">IFERROR(__xludf.DUMMYFUNCTION("H9/GOOGLEFINANCE (""Currency:USDRON"")"),7.82612584410357)</f>
        <v>7.8261258441035704</v>
      </c>
      <c r="H9" s="314">
        <v>35</v>
      </c>
      <c r="I9" s="315" t="e">
        <f t="shared" si="3"/>
        <v>#REF!</v>
      </c>
      <c r="J9" s="312" t="e">
        <f t="shared" ca="1" si="4"/>
        <v>#REF!</v>
      </c>
      <c r="K9" s="316">
        <f ca="1">IFERROR(__xludf.DUMMYFUNCTION("(F9*C9)/100*GOOGLEFINANCE (""Currency:USDRON"")"),1.773029807648)</f>
        <v>1.773029807648</v>
      </c>
      <c r="L9" s="317">
        <f ca="1">IFERROR(__xludf.DUMMYFUNCTION("(((H9/GOOGLEFINANCE (""Currency:USDRON""))/D9)*C9)/100*GOOGLEFINANCE (""Currency:USDRON"")"),0.618546465448768)</f>
        <v>0.61854646544876801</v>
      </c>
      <c r="M9" s="318">
        <f t="shared" ca="1" si="2"/>
        <v>0.3488641097744975</v>
      </c>
      <c r="N9" s="319" t="e">
        <f>Divident_all!#REF!</f>
        <v>#REF!</v>
      </c>
      <c r="O9" s="319" t="e">
        <f>Divident_all!#REF!</f>
        <v>#REF!</v>
      </c>
      <c r="P9" s="320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279"/>
      <c r="B10" s="321" t="e">
        <f>Divident_all!#REF!</f>
        <v>#REF!</v>
      </c>
      <c r="C10" s="321" t="e">
        <f>Divident_all!#REF!</f>
        <v>#REF!</v>
      </c>
      <c r="D10" s="322" t="e">
        <f>Divident_all!#REF!</f>
        <v>#REF!</v>
      </c>
      <c r="E10" s="323">
        <f ca="1">IFERROR(__xludf.DUMMYFUNCTION("(((H10/GOOGLEFINANCE (""Currency:USDRON""))/D10)+F10)"),0.245577498643308)</f>
        <v>0.245577498643308</v>
      </c>
      <c r="F10" s="321" t="e">
        <f>Divident_all!#REF!</f>
        <v>#REF!</v>
      </c>
      <c r="G10" s="322">
        <f ca="1">IFERROR(__xludf.DUMMYFUNCTION("H10/GOOGLEFINANCE (""Currency:usdRON"")"),6.70810786637449)</f>
        <v>6.7081078663744904</v>
      </c>
      <c r="H10" s="324">
        <v>30</v>
      </c>
      <c r="I10" s="325" t="e">
        <f t="shared" si="3"/>
        <v>#REF!</v>
      </c>
      <c r="J10" s="322" t="e">
        <f t="shared" ca="1" si="4"/>
        <v>#REF!</v>
      </c>
      <c r="K10" s="326">
        <f ca="1">IFERROR(__xludf.DUMMYFUNCTION("(F10*C10)/100*GOOGLEFINANCE (""Currency:usdRON"")"),1.525184642794)</f>
        <v>1.5251846427939999</v>
      </c>
      <c r="L10" s="327">
        <f ca="1">IFERROR(__xludf.DUMMYFUNCTION("(((H10/GOOGLEFINANCE (""Currency:usdRON""))/D10)*C10)/100*GOOGLEFINANCE (""Currency:usdRON"")"),0.506617982656321)</f>
        <v>0.50661798265632096</v>
      </c>
      <c r="M10" s="287">
        <f t="shared" ca="1" si="2"/>
        <v>0.33216829519620839</v>
      </c>
      <c r="N10" s="328" t="e">
        <f>Divident_all!#REF!</f>
        <v>#REF!</v>
      </c>
      <c r="O10" s="328" t="e">
        <f>Divident_all!#REF!</f>
        <v>#REF!</v>
      </c>
      <c r="P10" s="329" t="e">
        <f>Divident_all!#REF!</f>
        <v>#REF!</v>
      </c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279"/>
      <c r="B11" s="280" t="e">
        <f>Divident_all!#REF!</f>
        <v>#REF!</v>
      </c>
      <c r="C11" s="280" t="e">
        <f>Divident_all!#REF!</f>
        <v>#REF!</v>
      </c>
      <c r="D11" s="281" t="e">
        <f>Divident_all!#REF!</f>
        <v>#REF!</v>
      </c>
      <c r="E11" s="282">
        <f ca="1">IFERROR(__xludf.DUMMYFUNCTION("(((H11/GOOGLEFINANCE (""Currency:USDRON""))/D11)+F11)"),0.437095700614583)</f>
        <v>0.43709570061458303</v>
      </c>
      <c r="F11" s="280" t="e">
        <f>Divident_all!#REF!</f>
        <v>#REF!</v>
      </c>
      <c r="G11" s="281">
        <f ca="1">IFERROR(__xludf.DUMMYFUNCTION("H11/GOOGLEFINANCE (""Currency:USDRON"")"),6.70810786637449)</f>
        <v>6.7081078663744904</v>
      </c>
      <c r="H11" s="283">
        <v>30</v>
      </c>
      <c r="I11" s="284" t="e">
        <f t="shared" si="3"/>
        <v>#REF!</v>
      </c>
      <c r="J11" s="281" t="e">
        <f t="shared" ca="1" si="4"/>
        <v>#REF!</v>
      </c>
      <c r="K11" s="330">
        <f ca="1">IFERROR(__xludf.DUMMYFUNCTION("(F11*C11)/100*GOOGLEFINANCE (""Currency:USDRON"")"),0.984326568911999)</f>
        <v>0.98432656891199899</v>
      </c>
      <c r="L11" s="286">
        <f ca="1">IFERROR(__xludf.DUMMYFUNCTION("(((H11/GOOGLEFINANCE (""Currency:USDRON""))/D11)*C11)/100*GOOGLEFINANCE (""Currency:USDRON"")"),0.423114593535749)</f>
        <v>0.42311459353574898</v>
      </c>
      <c r="M11" s="287">
        <f t="shared" ca="1" si="2"/>
        <v>0.42985184683516997</v>
      </c>
      <c r="N11" s="288" t="e">
        <f>Divident_all!#REF!</f>
        <v>#REF!</v>
      </c>
      <c r="O11" s="288" t="e">
        <f>Divident_all!#REF!</f>
        <v>#REF!</v>
      </c>
      <c r="P11" s="289" t="e">
        <f>Divident_all!#REF!</f>
        <v>#REF!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279"/>
      <c r="B12" s="331" t="e">
        <f>Divident_all!#REF!</f>
        <v>#REF!</v>
      </c>
      <c r="C12" s="331" t="e">
        <f>Divident_all!#REF!</f>
        <v>#REF!</v>
      </c>
      <c r="D12" s="332" t="e">
        <f>Divident_all!#REF!</f>
        <v>#REF!</v>
      </c>
      <c r="E12" s="333">
        <f ca="1">IFERROR(__xludf.DUMMYFUNCTION("(((H12/GOOGLEFINANCE (""Currency:USDRON""))/D12)+F12)"),0.252884863817229)</f>
        <v>0.25288486381722902</v>
      </c>
      <c r="F12" s="331" t="e">
        <f>Divident_all!#REF!</f>
        <v>#REF!</v>
      </c>
      <c r="G12" s="332">
        <f ca="1">IFERROR(__xludf.DUMMYFUNCTION("H12/GOOGLEFINANCE (""Currency:USDRON"")"),6.70810786637449)</f>
        <v>6.7081078663744904</v>
      </c>
      <c r="H12" s="304">
        <v>30</v>
      </c>
      <c r="I12" s="334" t="e">
        <f t="shared" si="3"/>
        <v>#REF!</v>
      </c>
      <c r="J12" s="332" t="e">
        <f t="shared" ca="1" si="4"/>
        <v>#REF!</v>
      </c>
      <c r="K12" s="335">
        <f ca="1">IFERROR(__xludf.DUMMYFUNCTION("(E12*C12)/100*GOOGLEFINANCE (""Currency:usdRON"")"),1.43630864371353)</f>
        <v>1.43630864371353</v>
      </c>
      <c r="L12" s="336">
        <f ca="1">IFERROR(__xludf.DUMMYFUNCTION("(((H12/GOOGLEFINANCE (""Currency:usdRON""))/D12)*C12)/100*GOOGLEFINANCE (""Currency:usdRON"")"),0.398702385935537)</f>
        <v>0.39870238593553697</v>
      </c>
      <c r="M12" s="308">
        <f t="shared" ca="1" si="2"/>
        <v>0.27758823821090761</v>
      </c>
      <c r="N12" s="337" t="e">
        <f>Divident_all!#REF!</f>
        <v>#REF!</v>
      </c>
      <c r="O12" s="337" t="e">
        <f>Divident_all!#REF!</f>
        <v>#REF!</v>
      </c>
      <c r="P12" s="338" t="e">
        <f>Divident_all!#REF!</f>
        <v>#REF!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279"/>
      <c r="B13" s="280" t="e">
        <f>Divident_all!#REF!</f>
        <v>#REF!</v>
      </c>
      <c r="C13" s="280" t="e">
        <f>Divident_all!#REF!</f>
        <v>#REF!</v>
      </c>
      <c r="D13" s="281" t="e">
        <f>Divident_all!#REF!</f>
        <v>#REF!</v>
      </c>
      <c r="E13" s="282">
        <f ca="1">IFERROR(__xludf.DUMMYFUNCTION("(((H13/GOOGLEFINANCE (""Currency:USDRON""))/D13)+F13)"),1.03788347603454)</f>
        <v>1.0378834760345399</v>
      </c>
      <c r="F13" s="280" t="e">
        <f>Divident_all!#REF!</f>
        <v>#REF!</v>
      </c>
      <c r="G13" s="281">
        <f ca="1">IFERROR(__xludf.DUMMYFUNCTION("H13/GOOGLEFINANCE (""Currency:USDRON"")"),6.70810786637449)</f>
        <v>6.7081078663744904</v>
      </c>
      <c r="H13" s="283">
        <v>30</v>
      </c>
      <c r="I13" s="284" t="e">
        <f>D13/(C13*3)</f>
        <v>#REF!</v>
      </c>
      <c r="J13" s="281" t="e">
        <f t="shared" ca="1" si="4"/>
        <v>#REF!</v>
      </c>
      <c r="K13" s="330">
        <f ca="1">IFERROR(__xludf.DUMMYFUNCTION("(F13*C13)/100*GOOGLEFINANCE (""Currency:USDRON"")"),1.062088712931)</f>
        <v>1.0620887129309999</v>
      </c>
      <c r="L13" s="286">
        <f ca="1">IFERROR(__xludf.DUMMYFUNCTION("(((H13/GOOGLEFINANCE (""Currency:USDRON""))/D13)*C13)/100*GOOGLEFINANCE (""Currency:USDRON"")"),0.121525019857029)</f>
        <v>0.121525019857029</v>
      </c>
      <c r="M13" s="287">
        <f t="shared" ca="1" si="2"/>
        <v>0.11442078084198984</v>
      </c>
      <c r="N13" s="288" t="e">
        <f>Divident_all!#REF!</f>
        <v>#REF!</v>
      </c>
      <c r="O13" s="288" t="e">
        <f>Divident_all!#REF!</f>
        <v>#REF!</v>
      </c>
      <c r="P13" s="289" t="e">
        <f>Divident_all!#REF!</f>
        <v>#REF!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279"/>
      <c r="B14" s="339" t="e">
        <f>Divident_all!#REF!</f>
        <v>#REF!</v>
      </c>
      <c r="C14" s="339" t="e">
        <f>Divident_all!#REF!</f>
        <v>#REF!</v>
      </c>
      <c r="D14" s="340" t="e">
        <f>Divident_all!#REF!</f>
        <v>#REF!</v>
      </c>
      <c r="E14" s="341">
        <f ca="1">IFERROR(__xludf.DUMMYFUNCTION("(((H14/GOOGLEFINANCE (""Currency:USDRON""))/D14)+F14)"),0.317309252085655)</f>
        <v>0.31730925208565502</v>
      </c>
      <c r="F14" s="339" t="e">
        <f>Divident_all!#REF!</f>
        <v>#REF!</v>
      </c>
      <c r="G14" s="340">
        <f ca="1">IFERROR(__xludf.DUMMYFUNCTION("H14/GOOGLEFINANCE (""Currency:USDRON"")"),5.59008988864541)</f>
        <v>5.5900898886454096</v>
      </c>
      <c r="H14" s="342">
        <v>25</v>
      </c>
      <c r="I14" s="343" t="e">
        <f t="shared" ref="I14:I23" si="5">D14/C14</f>
        <v>#REF!</v>
      </c>
      <c r="J14" s="340" t="e">
        <f t="shared" ca="1" si="4"/>
        <v>#REF!</v>
      </c>
      <c r="K14" s="344">
        <f ca="1">IFERROR(__xludf.DUMMYFUNCTION("(F14*C14)/100*GOOGLEFINANCE (""Currency:USDRON"")"),1.4474658030876)</f>
        <v>1.4474658030876</v>
      </c>
      <c r="L14" s="345">
        <f ca="1">IFERROR(__xludf.DUMMYFUNCTION("(((H14/GOOGLEFINANCE (""Currency:USDRON""))/D14)*C14)/100*GOOGLEFINANCE (""Currency:USDRON"")"),0.283800130268912)</f>
        <v>0.28380013026891199</v>
      </c>
      <c r="M14" s="346">
        <f t="shared" ca="1" si="2"/>
        <v>0.19606689820480444</v>
      </c>
      <c r="N14" s="347" t="e">
        <f>Divident_all!#REF!</f>
        <v>#REF!</v>
      </c>
      <c r="O14" s="347" t="e">
        <f>Divident_all!#REF!</f>
        <v>#REF!</v>
      </c>
      <c r="P14" s="348" t="e">
        <f>Divident_all!#REF!</f>
        <v>#REF!</v>
      </c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</row>
    <row r="15" spans="1:33" ht="12.75">
      <c r="A15" s="279"/>
      <c r="B15" s="321" t="e">
        <f>Divident_all!#REF!</f>
        <v>#REF!</v>
      </c>
      <c r="C15" s="321" t="e">
        <f>Divident_all!#REF!</f>
        <v>#REF!</v>
      </c>
      <c r="D15" s="322" t="e">
        <f>Divident_all!#REF!</f>
        <v>#REF!</v>
      </c>
      <c r="E15" s="323">
        <f ca="1">IFERROR(__xludf.DUMMYFUNCTION("(((H15/GOOGLEFINANCE (""Currency:USDRON""))/D15)+F15)"),0.241250299217826)</f>
        <v>0.24125029921782601</v>
      </c>
      <c r="F15" s="321" t="e">
        <f>Divident_all!#REF!</f>
        <v>#REF!</v>
      </c>
      <c r="G15" s="322">
        <f ca="1">IFERROR(__xludf.DUMMYFUNCTION("H15/GOOGLEFINANCE (""Currency:USDRON"")"),5.59008988864541)</f>
        <v>5.5900898886454096</v>
      </c>
      <c r="H15" s="324">
        <v>25</v>
      </c>
      <c r="I15" s="325" t="e">
        <f t="shared" si="5"/>
        <v>#REF!</v>
      </c>
      <c r="J15" s="322" t="e">
        <f t="shared" ca="1" si="4"/>
        <v>#REF!</v>
      </c>
      <c r="K15" s="326">
        <f ca="1">IFERROR(__xludf.DUMMYFUNCTION("(F15*C15)/100*GOOGLEFINANCE (""Currency:USDRON"")"),0.884975733583199)</f>
        <v>0.88497573358319903</v>
      </c>
      <c r="L15" s="327">
        <f ca="1">IFERROR(__xludf.DUMMYFUNCTION("(((H15/GOOGLEFINANCE (""Currency:USDRON""))/D15)*C15)/100*GOOGLEFINANCE (""Currency:USDRON"")"),0.28025742163172)</f>
        <v>0.28025742163172002</v>
      </c>
      <c r="M15" s="287">
        <f t="shared" ca="1" si="2"/>
        <v>0.31668373605791333</v>
      </c>
      <c r="N15" s="328" t="e">
        <f>Divident_all!#REF!</f>
        <v>#REF!</v>
      </c>
      <c r="O15" s="328" t="e">
        <f>Divident_all!#REF!</f>
        <v>#REF!</v>
      </c>
      <c r="P15" s="329" t="e">
        <f>Divident_all!#REF!</f>
        <v>#REF!</v>
      </c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279"/>
      <c r="B16" s="301" t="e">
        <f>Divident_all!#REF!</f>
        <v>#REF!</v>
      </c>
      <c r="C16" s="301" t="e">
        <f>Divident_all!#REF!</f>
        <v>#REF!</v>
      </c>
      <c r="D16" s="302" t="e">
        <f>Divident_all!#REF!</f>
        <v>#REF!</v>
      </c>
      <c r="E16" s="303">
        <f ca="1">IFERROR(__xludf.DUMMYFUNCTION("(((H16/GOOGLEFINANCE (""Currency:USDRON""))/D16)+F16)"),0.112217645313716)</f>
        <v>0.112217645313716</v>
      </c>
      <c r="F16" s="301" t="e">
        <f>Divident_all!#REF!</f>
        <v>#REF!</v>
      </c>
      <c r="G16" s="302">
        <f ca="1">IFERROR(__xludf.DUMMYFUNCTION("H16/GOOGLEFINANCE (""Currency:usdRON"")"),5.59008988864541)</f>
        <v>5.5900898886454096</v>
      </c>
      <c r="H16" s="304">
        <v>25</v>
      </c>
      <c r="I16" s="305" t="e">
        <f t="shared" si="5"/>
        <v>#REF!</v>
      </c>
      <c r="J16" s="302" t="e">
        <f t="shared" ca="1" si="4"/>
        <v>#REF!</v>
      </c>
      <c r="K16" s="306">
        <f ca="1">IFERROR(__xludf.DUMMYFUNCTION("(F16*C16)/100*GOOGLEFINANCE (""Currency:usdRON"")"),0.3889984764676)</f>
        <v>0.3889984764676</v>
      </c>
      <c r="L16" s="307">
        <f ca="1">IFERROR(__xludf.DUMMYFUNCTION("(((H16/GOOGLEFINANCE (""Currency:usdRON""))/D16)*C16)/100*GOOGLEFINANCE (""Currency:usdRON"")"),0.203196032511365)</f>
        <v>0.203196032511365</v>
      </c>
      <c r="M16" s="308">
        <f t="shared" ca="1" si="2"/>
        <v>0.52235688519024148</v>
      </c>
      <c r="N16" s="309" t="e">
        <f>Divident_all!#REF!</f>
        <v>#REF!</v>
      </c>
      <c r="O16" s="309" t="e">
        <f>Divident_all!#REF!</f>
        <v>#REF!</v>
      </c>
      <c r="P16" s="310" t="e">
        <f>Divident_all!#REF!</f>
        <v>#REF!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279"/>
      <c r="B17" s="301" t="e">
        <f>Divident_all!#REF!</f>
        <v>#REF!</v>
      </c>
      <c r="C17" s="301" t="e">
        <f>Divident_all!#REF!</f>
        <v>#REF!</v>
      </c>
      <c r="D17" s="302" t="e">
        <f>Divident_all!#REF!</f>
        <v>#REF!</v>
      </c>
      <c r="E17" s="303">
        <f ca="1">IFERROR(__xludf.DUMMYFUNCTION("(((H17/GOOGLEFINANCE (""Currency:USDRON""))/D17)+F17)"),0.434207867676435)</f>
        <v>0.43420786767643499</v>
      </c>
      <c r="F17" s="301" t="e">
        <f>Divident_all!#REF!</f>
        <v>#REF!</v>
      </c>
      <c r="G17" s="302">
        <f ca="1">IFERROR(__xludf.DUMMYFUNCTION("H17/GOOGLEFINANCE (""Currency:USDRON"")"),5.59008988864541)</f>
        <v>5.5900898886454096</v>
      </c>
      <c r="H17" s="304">
        <v>25</v>
      </c>
      <c r="I17" s="305" t="e">
        <f t="shared" si="5"/>
        <v>#REF!</v>
      </c>
      <c r="J17" s="302" t="e">
        <f t="shared" ca="1" si="4"/>
        <v>#REF!</v>
      </c>
      <c r="K17" s="306">
        <f ca="1">IFERROR(__xludf.DUMMYFUNCTION("(F17*C17)/100*GOOGLEFINANCE (""Currency:USDRON"")"),0.71362627068)</f>
        <v>0.71362627067999995</v>
      </c>
      <c r="L17" s="307">
        <f ca="1">IFERROR(__xludf.DUMMYFUNCTION("(((H17/GOOGLEFINANCE (""Currency:USDRON""))/D17)*C17)/100*GOOGLEFINANCE (""Currency:USDRON"")"),0.179631365198375)</f>
        <v>0.179631365198375</v>
      </c>
      <c r="M17" s="308">
        <f t="shared" ca="1" si="2"/>
        <v>0.25171630106499293</v>
      </c>
      <c r="N17" s="309" t="e">
        <f>Divident_all!#REF!</f>
        <v>#REF!</v>
      </c>
      <c r="O17" s="309" t="e">
        <f>Divident_all!#REF!</f>
        <v>#REF!</v>
      </c>
      <c r="P17" s="310" t="e">
        <f>Divident_all!#REF!</f>
        <v>#REF!</v>
      </c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279"/>
      <c r="B18" s="331" t="e">
        <f>Divident_all!#REF!</f>
        <v>#REF!</v>
      </c>
      <c r="C18" s="331" t="e">
        <f>Divident_all!#REF!</f>
        <v>#REF!</v>
      </c>
      <c r="D18" s="332" t="e">
        <f>Divident_all!#REF!</f>
        <v>#REF!</v>
      </c>
      <c r="E18" s="333">
        <f ca="1">IFERROR(__xludf.DUMMYFUNCTION("(((H18/GOOGLEFINANCE (""Currency:USDRON""))/D18)+F18)"),0.107603679090525)</f>
        <v>0.107603679090525</v>
      </c>
      <c r="F18" s="331" t="e">
        <f>Divident_all!#REF!</f>
        <v>#REF!</v>
      </c>
      <c r="G18" s="332">
        <f ca="1">IFERROR(__xludf.DUMMYFUNCTION("H18/GOOGLEFINANCE (""Currency:USDRON"")"),4.47207191091632)</f>
        <v>4.4720719109163198</v>
      </c>
      <c r="H18" s="304">
        <v>20</v>
      </c>
      <c r="I18" s="334" t="e">
        <f t="shared" si="5"/>
        <v>#REF!</v>
      </c>
      <c r="J18" s="332" t="e">
        <f t="shared" ca="1" si="4"/>
        <v>#REF!</v>
      </c>
      <c r="K18" s="335">
        <f ca="1">IFERROR(__xludf.DUMMYFUNCTION("(F18*C18)/100*GOOGLEFINANCE (""Currency:USDRON"")"),0.4785187230054)</f>
        <v>0.47851872300539999</v>
      </c>
      <c r="L18" s="336">
        <f ca="1">IFERROR(__xludf.DUMMYFUNCTION("(((H18/GOOGLEFINANCE (""Currency:USDRON""))/D18)*C18)/100*GOOGLEFINANCE (""Currency:USDRON"")"),0.130231121634838)</f>
        <v>0.13023112163483799</v>
      </c>
      <c r="M18" s="308">
        <f t="shared" ca="1" si="2"/>
        <v>0.27215470445315965</v>
      </c>
      <c r="N18" s="337" t="e">
        <f>Divident_all!#REF!</f>
        <v>#REF!</v>
      </c>
      <c r="O18" s="337" t="e">
        <f>Divident_all!#REF!</f>
        <v>#REF!</v>
      </c>
      <c r="P18" s="338" t="e">
        <f>Divident_all!#REF!</f>
        <v>#REF!</v>
      </c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279"/>
      <c r="B19" s="349" t="e">
        <f>Divident_all!#REF!</f>
        <v>#REF!</v>
      </c>
      <c r="C19" s="349" t="e">
        <f>Divident_all!#REF!</f>
        <v>#REF!</v>
      </c>
      <c r="D19" s="350" t="e">
        <f>Divident_all!#REF!</f>
        <v>#REF!</v>
      </c>
      <c r="E19" s="351">
        <f ca="1">IFERROR(__xludf.DUMMYFUNCTION("(((H19/GOOGLEFINANCE (""Currency:USDRON""))/D19)+F19)"),0.10664613184071)</f>
        <v>0.10664613184071001</v>
      </c>
      <c r="F19" s="349" t="e">
        <f>Divident_all!#REF!</f>
        <v>#REF!</v>
      </c>
      <c r="G19" s="350">
        <f ca="1">IFERROR(__xludf.DUMMYFUNCTION("H19/GOOGLEFINANCE (""Currency:USDRON"")"),4.47207191091632)</f>
        <v>4.4720719109163198</v>
      </c>
      <c r="H19" s="352">
        <v>20</v>
      </c>
      <c r="I19" s="353" t="e">
        <f t="shared" si="5"/>
        <v>#REF!</v>
      </c>
      <c r="J19" s="350" t="e">
        <f t="shared" ca="1" si="4"/>
        <v>#REF!</v>
      </c>
      <c r="K19" s="344">
        <f ca="1">IFERROR(__xludf.DUMMYFUNCTION("(F19*C19)/100*GOOGLEFINANCE (""Currency:USDRON"")"),0.215175766215)</f>
        <v>0.21517576621500001</v>
      </c>
      <c r="L19" s="354">
        <f ca="1">IFERROR(__xludf.DUMMYFUNCTION("(((H19/GOOGLEFINANCE (""Currency:USDRON""))/D19)*C19)/100*GOOGLEFINANCE (""Currency:USDRON"")"),0.142531356898517)</f>
        <v>0.14253135689851701</v>
      </c>
      <c r="M19" s="346">
        <f t="shared" ca="1" si="2"/>
        <v>0.66239502433606801</v>
      </c>
      <c r="N19" s="355" t="e">
        <f>Divident_all!#REF!</f>
        <v>#REF!</v>
      </c>
      <c r="O19" s="355" t="e">
        <f>Divident_all!#REF!</f>
        <v>#REF!</v>
      </c>
      <c r="P19" s="356" t="e">
        <f>Divident_all!#REF!</f>
        <v>#REF!</v>
      </c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279"/>
      <c r="B20" s="357" t="e">
        <f>Divident_all!#REF!</f>
        <v>#REF!</v>
      </c>
      <c r="C20" s="357" t="e">
        <f>Divident_all!#REF!</f>
        <v>#REF!</v>
      </c>
      <c r="D20" s="358" t="e">
        <f>Divident_all!#REF!</f>
        <v>#REF!</v>
      </c>
      <c r="E20" s="359">
        <f ca="1">IFERROR(__xludf.DUMMYFUNCTION("(((H20/GOOGLEFINANCE (""Currency:USDRON""))/D20)+F20)"),0.102830387966676)</f>
        <v>0.102830387966676</v>
      </c>
      <c r="F20" s="357" t="e">
        <f>Divident_all!#REF!</f>
        <v>#REF!</v>
      </c>
      <c r="G20" s="358">
        <f ca="1">IFERROR(__xludf.DUMMYFUNCTION("H20/GOOGLEFINANCE (""Currency:USDRON"")"),4.47207191091632)</f>
        <v>4.4720719109163198</v>
      </c>
      <c r="H20" s="294">
        <v>20</v>
      </c>
      <c r="I20" s="360" t="e">
        <f t="shared" si="5"/>
        <v>#REF!</v>
      </c>
      <c r="J20" s="358" t="e">
        <f t="shared" ca="1" si="4"/>
        <v>#REF!</v>
      </c>
      <c r="K20" s="361">
        <f ca="1">IFERROR(__xludf.DUMMYFUNCTION("(F20*C20)/100*GOOGLEFINANCE (""Currency:USDRON"")"),0.5965197101344)</f>
        <v>0.59651971013439997</v>
      </c>
      <c r="L20" s="362">
        <f ca="1">IFERROR(__xludf.DUMMYFUNCTION("(((H20/GOOGLEFINANCE (""Currency:USDRON""))/D20)*C20)/100*GOOGLEFINANCE (""Currency:USDRON"")"),0.102494942683749)</f>
        <v>0.10249494268374899</v>
      </c>
      <c r="M20" s="363">
        <f t="shared" ca="1" si="2"/>
        <v>0.17182155248592906</v>
      </c>
      <c r="N20" s="364" t="e">
        <f>Divident_all!#REF!</f>
        <v>#REF!</v>
      </c>
      <c r="O20" s="364" t="e">
        <f>Divident_all!#REF!</f>
        <v>#REF!</v>
      </c>
      <c r="P20" s="365" t="e">
        <f>Divident_all!#REF!</f>
        <v>#REF!</v>
      </c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279"/>
      <c r="B21" s="366" t="e">
        <f>Divident_all!#REF!</f>
        <v>#REF!</v>
      </c>
      <c r="C21" s="366" t="e">
        <f>Divident_all!#REF!</f>
        <v>#REF!</v>
      </c>
      <c r="D21" s="367" t="e">
        <f>Divident_all!#REF!</f>
        <v>#REF!</v>
      </c>
      <c r="E21" s="368">
        <f ca="1">IFERROR(__xludf.DUMMYFUNCTION("(((H21/GOOGLEFINANCE (""Currency:USDRON""))/D21)+F21)"),0.140166159320797)</f>
        <v>0.14016615932079701</v>
      </c>
      <c r="F21" s="366" t="e">
        <f>Divident_all!#REF!</f>
        <v>#REF!</v>
      </c>
      <c r="G21" s="367">
        <f ca="1">IFERROR(__xludf.DUMMYFUNCTION("H21/GOOGLEFINANCE (""Currency:USDRON"")"),4.47207191091632)</f>
        <v>4.4720719109163198</v>
      </c>
      <c r="H21" s="369">
        <v>20</v>
      </c>
      <c r="I21" s="370" t="e">
        <f t="shared" si="5"/>
        <v>#REF!</v>
      </c>
      <c r="J21" s="367" t="e">
        <f t="shared" ca="1" si="4"/>
        <v>#REF!</v>
      </c>
      <c r="K21" s="371">
        <f ca="1">IFERROR(__xludf.DUMMYFUNCTION("(F21*C21)/100*GOOGLEFINANCE (""Currency:USDRON"")"),0.3543950168)</f>
        <v>0.35439501680000002</v>
      </c>
      <c r="L21" s="372">
        <f ca="1">IFERROR(__xludf.DUMMYFUNCTION("(((H21/GOOGLEFINANCE (""Currency:USDRON""))/D21)*C21)/100*GOOGLEFINANCE (""Currency:USDRON"")"),0.147085861371575)</f>
        <v>0.14708586137157501</v>
      </c>
      <c r="M21" s="373">
        <f t="shared" ca="1" si="2"/>
        <v>0.41503366130732511</v>
      </c>
      <c r="N21" s="374" t="e">
        <f>Divident_all!#REF!</f>
        <v>#REF!</v>
      </c>
      <c r="O21" s="374" t="e">
        <f>Divident_all!#REF!</f>
        <v>#REF!</v>
      </c>
      <c r="P21" s="375" t="e">
        <f>Divident_all!#REF!</f>
        <v>#REF!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279"/>
      <c r="B22" s="291" t="e">
        <f>Divident_all!#REF!</f>
        <v>#REF!</v>
      </c>
      <c r="C22" s="291" t="e">
        <f>Divident_all!#REF!</f>
        <v>#REF!</v>
      </c>
      <c r="D22" s="292" t="e">
        <f>Divident_all!#REF!</f>
        <v>#REF!</v>
      </c>
      <c r="E22" s="293">
        <f ca="1">IFERROR(__xludf.DUMMYFUNCTION("(((H22/GOOGLEFINANCE (""Currency:USDRON""))/D22)+F22)"),0.0486122298174595)</f>
        <v>4.8612229817459503E-2</v>
      </c>
      <c r="F22" s="291" t="e">
        <f>Divident_all!#REF!</f>
        <v>#REF!</v>
      </c>
      <c r="G22" s="292">
        <f ca="1">IFERROR(__xludf.DUMMYFUNCTION("H22/GOOGLEFINANCE (""Currency:USDRON"")"),3.35405393318724)</f>
        <v>3.3540539331872399</v>
      </c>
      <c r="H22" s="294">
        <v>15</v>
      </c>
      <c r="I22" s="295" t="e">
        <f t="shared" si="5"/>
        <v>#REF!</v>
      </c>
      <c r="J22" s="292" t="e">
        <f t="shared" ca="1" si="4"/>
        <v>#REF!</v>
      </c>
      <c r="K22" s="296">
        <f ca="1">IFERROR(__xludf.DUMMYFUNCTION("(F22*C22)/100*GOOGLEFINANCE (""Currency:USDRON"")"),0.124509603399)</f>
        <v>0.124509603399</v>
      </c>
      <c r="L22" s="297">
        <f ca="1">IFERROR(__xludf.DUMMYFUNCTION("(((H22/GOOGLEFINANCE (""Currency:USDRON""))/D22)*C22)/100*GOOGLEFINANCE (""Currency:USDRON"")"),0.0820238300811604)</f>
        <v>8.2023830081160404E-2</v>
      </c>
      <c r="M22" s="298">
        <f t="shared" ca="1" si="2"/>
        <v>0.65877512932323079</v>
      </c>
      <c r="N22" s="299" t="e">
        <f>Divident_all!#REF!</f>
        <v>#REF!</v>
      </c>
      <c r="O22" s="299" t="e">
        <f>Divident_all!#REF!</f>
        <v>#REF!</v>
      </c>
      <c r="P22" s="300" t="e">
        <f>Divident_all!#REF!</f>
        <v>#REF!</v>
      </c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279"/>
      <c r="B23" s="366" t="e">
        <f>Divident_all!#REF!</f>
        <v>#REF!</v>
      </c>
      <c r="C23" s="366" t="e">
        <f>Divident_all!#REF!</f>
        <v>#REF!</v>
      </c>
      <c r="D23" s="367" t="e">
        <f>Divident_all!#REF!</f>
        <v>#REF!</v>
      </c>
      <c r="E23" s="368">
        <f ca="1">IFERROR(__xludf.DUMMYFUNCTION("(((H23/GOOGLEFINANCE (""Currency:USDRON""))/D23)+F23)"),0.20539538982214)</f>
        <v>0.20539538982214001</v>
      </c>
      <c r="F23" s="366" t="e">
        <f>Divident_all!#REF!</f>
        <v>#REF!</v>
      </c>
      <c r="G23" s="367">
        <f ca="1">IFERROR(__xludf.DUMMYFUNCTION("H23/GOOGLEFINANCE (""Currency:USDRON"")"),3.35405393318724)</f>
        <v>3.3540539331872399</v>
      </c>
      <c r="H23" s="369">
        <v>15</v>
      </c>
      <c r="I23" s="370" t="e">
        <f t="shared" si="5"/>
        <v>#REF!</v>
      </c>
      <c r="J23" s="367" t="e">
        <f t="shared" ca="1" si="4"/>
        <v>#REF!</v>
      </c>
      <c r="K23" s="371">
        <f ca="1">IFERROR(__xludf.DUMMYFUNCTION("(F23*C23)/100*GOOGLEFINANCE (""Currency:USDRON"")"),0.33792336216936)</f>
        <v>0.33792336216935998</v>
      </c>
      <c r="L23" s="372">
        <f ca="1">IFERROR(__xludf.DUMMYFUNCTION("(((H23/GOOGLEFINANCE (""Currency:USDRON""))/D23)*C23)/100*GOOGLEFINANCE (""Currency:USDRON"")"),0.0803930799105566)</f>
        <v>8.0393079910556595E-2</v>
      </c>
      <c r="M23" s="373">
        <f t="shared" ca="1" si="2"/>
        <v>0.23790329083629708</v>
      </c>
      <c r="N23" s="374" t="e">
        <f>Divident_all!#REF!</f>
        <v>#REF!</v>
      </c>
      <c r="O23" s="374" t="e">
        <f>Divident_all!#REF!</f>
        <v>#REF!</v>
      </c>
      <c r="P23" s="375" t="e">
        <f>Divident_all!#REF!</f>
        <v>#REF!</v>
      </c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</row>
    <row r="26" spans="1:33" ht="12.75">
      <c r="A26" s="172"/>
      <c r="B26" s="376"/>
      <c r="C26" s="376"/>
      <c r="D26" s="377"/>
      <c r="E26" s="378"/>
      <c r="F26" s="376"/>
      <c r="G26" s="377"/>
      <c r="H26" s="376"/>
      <c r="I26" s="379"/>
      <c r="J26" s="377"/>
      <c r="K26" s="380"/>
      <c r="L26" s="380"/>
      <c r="M26" s="380"/>
      <c r="N26" s="381"/>
      <c r="O26" s="381"/>
      <c r="P26" s="38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</row>
    <row r="27" spans="1:33" ht="12.75">
      <c r="A27" s="172"/>
      <c r="B27" s="376"/>
      <c r="C27" s="376"/>
      <c r="D27" s="377"/>
      <c r="E27" s="378"/>
      <c r="F27" s="376"/>
      <c r="G27" s="377"/>
      <c r="H27" s="376"/>
      <c r="I27" s="379"/>
      <c r="J27" s="377"/>
      <c r="K27" s="380"/>
      <c r="L27" s="380"/>
      <c r="M27" s="380"/>
      <c r="N27" s="381"/>
      <c r="O27" s="381"/>
      <c r="P27" s="38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G32"/>
  <sheetViews>
    <sheetView workbookViewId="0"/>
  </sheetViews>
  <sheetFormatPr defaultColWidth="12.5703125" defaultRowHeight="15.75" customHeight="1"/>
  <cols>
    <col min="1" max="1" width="19.7109375" customWidth="1"/>
    <col min="11" max="11" width="15" customWidth="1"/>
    <col min="14" max="14" width="18.140625" customWidth="1"/>
    <col min="15" max="15" width="26.42578125" customWidth="1"/>
  </cols>
  <sheetData>
    <row r="1" spans="1:33" ht="15.75" customHeight="1">
      <c r="A1" s="269" t="s">
        <v>183</v>
      </c>
      <c r="B1" s="49" t="s">
        <v>184</v>
      </c>
      <c r="C1" s="49" t="s">
        <v>185</v>
      </c>
      <c r="D1" s="49" t="s">
        <v>186</v>
      </c>
      <c r="E1" s="49" t="s">
        <v>187</v>
      </c>
      <c r="F1" s="49" t="s">
        <v>188</v>
      </c>
      <c r="G1" s="49" t="s">
        <v>189</v>
      </c>
      <c r="H1" s="12"/>
      <c r="I1" s="12"/>
      <c r="J1" s="13"/>
      <c r="K1" s="13" t="s">
        <v>190</v>
      </c>
      <c r="L1" s="13" t="s">
        <v>191</v>
      </c>
      <c r="M1" s="13"/>
      <c r="N1" s="13"/>
      <c r="O1" s="13"/>
      <c r="P1" s="13"/>
    </row>
    <row r="2" spans="1:33" ht="15.75" customHeight="1">
      <c r="A2" s="269" t="s">
        <v>192</v>
      </c>
      <c r="B2" s="270">
        <v>35</v>
      </c>
      <c r="C2" s="271">
        <v>30</v>
      </c>
      <c r="D2" s="272">
        <v>25</v>
      </c>
      <c r="E2" s="273">
        <v>20</v>
      </c>
      <c r="F2" s="274">
        <v>15</v>
      </c>
      <c r="G2" s="275">
        <v>10</v>
      </c>
      <c r="H2" s="12"/>
      <c r="I2" s="12"/>
      <c r="J2" s="13"/>
      <c r="K2" s="13">
        <v>5</v>
      </c>
      <c r="L2" s="276">
        <f ca="1">((L4*4)*100)/(500+K2)</f>
        <v>4.1184932616559795</v>
      </c>
      <c r="M2" s="13"/>
      <c r="N2" s="13"/>
      <c r="O2" s="13"/>
      <c r="P2" s="13"/>
    </row>
    <row r="3" spans="1:33" ht="15.75" customHeight="1">
      <c r="A3" s="277" t="s">
        <v>29</v>
      </c>
      <c r="B3" s="48" t="s">
        <v>40</v>
      </c>
      <c r="C3" s="48" t="s">
        <v>120</v>
      </c>
      <c r="D3" s="48" t="s">
        <v>41</v>
      </c>
      <c r="E3" s="48" t="s">
        <v>193</v>
      </c>
      <c r="F3" s="48" t="s">
        <v>123</v>
      </c>
      <c r="G3" s="48" t="s">
        <v>194</v>
      </c>
      <c r="H3" s="48" t="s">
        <v>195</v>
      </c>
      <c r="I3" s="48" t="s">
        <v>196</v>
      </c>
      <c r="J3" s="48" t="s">
        <v>197</v>
      </c>
      <c r="K3" s="48" t="s">
        <v>198</v>
      </c>
      <c r="L3" s="48" t="s">
        <v>199</v>
      </c>
      <c r="M3" s="48" t="s">
        <v>200</v>
      </c>
      <c r="N3" s="48" t="s">
        <v>127</v>
      </c>
      <c r="O3" s="48" t="s">
        <v>128</v>
      </c>
      <c r="P3" s="48" t="s">
        <v>129</v>
      </c>
    </row>
    <row r="4" spans="1:33" ht="12.75">
      <c r="A4" s="121" t="s">
        <v>28</v>
      </c>
      <c r="B4" s="122"/>
      <c r="C4" s="122" t="e">
        <f t="shared" ref="C4:E4" si="0">AVERAGE(C5:C27)</f>
        <v>#REF!</v>
      </c>
      <c r="D4" s="124" t="e">
        <f t="shared" si="0"/>
        <v>#REF!</v>
      </c>
      <c r="E4" s="122">
        <f t="shared" ca="1" si="0"/>
        <v>1.7462508094406275</v>
      </c>
      <c r="F4" s="122"/>
      <c r="G4" s="253">
        <f ca="1">SUM(G5:G27)</f>
        <v>113.30694956765061</v>
      </c>
      <c r="H4" s="122">
        <f>500+K2-SUM(H5:H27)</f>
        <v>0</v>
      </c>
      <c r="I4" s="124"/>
      <c r="J4" s="124" t="e">
        <f t="shared" ref="J4:L4" ca="1" si="1">SUM(J5:J27)</f>
        <v>#REF!</v>
      </c>
      <c r="K4" s="129">
        <f t="shared" ca="1" si="1"/>
        <v>26.648985773185256</v>
      </c>
      <c r="L4" s="129">
        <f t="shared" ca="1" si="1"/>
        <v>5.1995977428406741</v>
      </c>
      <c r="M4" s="123">
        <f t="shared" ref="M4:M28" ca="1" si="2">L4/K4</f>
        <v>0.19511428266334299</v>
      </c>
      <c r="N4" s="131"/>
      <c r="O4" s="131"/>
      <c r="P4" s="132"/>
    </row>
    <row r="5" spans="1:33" ht="12.75">
      <c r="A5" s="279"/>
      <c r="B5" s="311" t="e">
        <f>Divident_all!#REF!</f>
        <v>#REF!</v>
      </c>
      <c r="C5" s="311" t="e">
        <f>Divident_all!#REF!</f>
        <v>#REF!</v>
      </c>
      <c r="D5" s="383" t="e">
        <f>Divident_all!#REF!</f>
        <v>#REF!</v>
      </c>
      <c r="E5" s="313">
        <f ca="1">IFERROR(__xludf.DUMMYFUNCTION("(((H5/GOOGLEFINANCE (""Currency:cadRON""))/D5)+F5)"),1.19903116077195)</f>
        <v>1.1990311607719499</v>
      </c>
      <c r="F5" s="311" t="e">
        <f>Divident_all!#REF!</f>
        <v>#REF!</v>
      </c>
      <c r="G5" s="384">
        <f ca="1">IFERROR(__xludf.DUMMYFUNCTION("H5/GOOGLEFINANCE (""Currency:CADRON"")"),10.5476606764086)</f>
        <v>10.547660676408601</v>
      </c>
      <c r="H5" s="314">
        <v>35</v>
      </c>
      <c r="I5" s="315" t="e">
        <f>D5/C5</f>
        <v>#REF!</v>
      </c>
      <c r="J5" s="384" t="e">
        <f t="shared" ref="J5:J7" ca="1" si="3">((E5*C5)/100)</f>
        <v>#REF!</v>
      </c>
      <c r="K5" s="316">
        <f ca="1">IFERROR(__xludf.DUMMYFUNCTION("(F5*C5)/100*GOOGLEFINANCE (""Currency:CADRON"")"),2.75279206008608)</f>
        <v>2.75279206008608</v>
      </c>
      <c r="L5" s="317">
        <f ca="1">IFERROR(__xludf.DUMMYFUNCTION("(((H5/GOOGLEFINANCE (""Currency:CADRON""))/D5)*C5)/100*GOOGLEFINANCE (""Currency:CADRON"")"),0.778313705838135)</f>
        <v>0.77831370583813497</v>
      </c>
      <c r="M5" s="318">
        <f t="shared" ca="1" si="2"/>
        <v>0.28273610532493221</v>
      </c>
      <c r="N5" s="319" t="e">
        <f>Divident_all!#REF!</f>
        <v>#REF!</v>
      </c>
      <c r="O5" s="319" t="e">
        <f>Divident_all!#REF!</f>
        <v>#REF!</v>
      </c>
      <c r="P5" s="320" t="e">
        <f>Divident_all!#REF!</f>
        <v>#REF!</v>
      </c>
      <c r="R5" s="290"/>
    </row>
    <row r="6" spans="1:33" ht="12.75">
      <c r="A6" s="279"/>
      <c r="B6" s="280" t="e">
        <f>Divident_all!#REF!</f>
        <v>#REF!</v>
      </c>
      <c r="C6" s="280" t="e">
        <f>Divident_all!#REF!</f>
        <v>#REF!</v>
      </c>
      <c r="D6" s="281" t="e">
        <f>Divident_all!#REF!</f>
        <v>#REF!</v>
      </c>
      <c r="E6" s="282">
        <f ca="1">IFERROR(__xludf.DUMMYFUNCTION("(((H6/GOOGLEFINANCE (""Currency:USDRON""))/D6)+F6)"),2.13429722063236)</f>
        <v>2.13429722063236</v>
      </c>
      <c r="F6" s="280" t="e">
        <f>Divident_all!#REF!</f>
        <v>#REF!</v>
      </c>
      <c r="G6" s="281">
        <f ca="1">IFERROR(__xludf.DUMMYFUNCTION("H6/GOOGLEFINANCE (""Currency:USDRON"")"),13.4162157327489)</f>
        <v>13.416215732748899</v>
      </c>
      <c r="H6" s="283">
        <v>60</v>
      </c>
      <c r="I6" s="284" t="e">
        <f>D6/(C6*3)</f>
        <v>#REF!</v>
      </c>
      <c r="J6" s="281" t="e">
        <f t="shared" ca="1" si="3"/>
        <v>#REF!</v>
      </c>
      <c r="K6" s="330">
        <f ca="1">IFERROR(__xludf.DUMMYFUNCTION("(F6*C6)/100*GOOGLEFINANCE (""Currency:USDRON"")"),2.234805186295)</f>
        <v>2.234805186295</v>
      </c>
      <c r="L6" s="286">
        <f ca="1">IFERROR(__xludf.DUMMYFUNCTION("(((H6/GOOGLEFINANCE (""Currency:USDRON""))/D6)*C6)/100*GOOGLEFINANCE (""Currency:USDRON"")"),0.390070921985815)</f>
        <v>0.390070921985815</v>
      </c>
      <c r="M6" s="287">
        <f t="shared" ca="1" si="2"/>
        <v>0.17454359081406062</v>
      </c>
      <c r="N6" s="288" t="e">
        <f>Divident_all!#REF!</f>
        <v>#REF!</v>
      </c>
      <c r="O6" s="288" t="e">
        <f>Divident_all!#REF!</f>
        <v>#REF!</v>
      </c>
      <c r="P6" s="289" t="e">
        <f>Divident_all!#REF!</f>
        <v>#REF!</v>
      </c>
      <c r="Q6" s="2" t="s">
        <v>201</v>
      </c>
    </row>
    <row r="7" spans="1:33" ht="12.75">
      <c r="A7" s="279"/>
      <c r="B7" s="339" t="e">
        <f>Divident_all!#REF!</f>
        <v>#REF!</v>
      </c>
      <c r="C7" s="339" t="e">
        <f>Divident_all!#REF!</f>
        <v>#REF!</v>
      </c>
      <c r="D7" s="340" t="e">
        <f>Divident_all!#REF!</f>
        <v>#REF!</v>
      </c>
      <c r="E7" s="341">
        <f ca="1">IFERROR(__xludf.DUMMYFUNCTION("(((H7/GOOGLEFINANCE (""Currency:USDRON""))/D7)+F7)"),2.75443992707499)</f>
        <v>2.7544399270749902</v>
      </c>
      <c r="F7" s="339" t="e">
        <f>Divident_all!#REF!</f>
        <v>#REF!</v>
      </c>
      <c r="G7" s="340">
        <f ca="1">IFERROR(__xludf.DUMMYFUNCTION("H7/GOOGLEFINANCE (""Currency:USDRON"")"),6.70810786637449)</f>
        <v>6.7081078663744904</v>
      </c>
      <c r="H7" s="342">
        <v>30</v>
      </c>
      <c r="I7" s="343" t="e">
        <f t="shared" ref="I7:I12" si="4">D7/C7</f>
        <v>#REF!</v>
      </c>
      <c r="J7" s="340" t="e">
        <f t="shared" ca="1" si="3"/>
        <v>#REF!</v>
      </c>
      <c r="K7" s="344">
        <f ca="1">IFERROR(__xludf.DUMMYFUNCTION("(F7*C7)/100*GOOGLEFINANCE (""Currency:USDRON"")"),1.58717081061999)</f>
        <v>1.58717081061999</v>
      </c>
      <c r="L7" s="345">
        <f ca="1">IFERROR(__xludf.DUMMYFUNCTION("(((H7/GOOGLEFINANCE (""Currency:USDRON""))/D7)*C7)/100*GOOGLEFINANCE (""Currency:USDRON"")"),0.506958250497017)</f>
        <v>0.50695825049701704</v>
      </c>
      <c r="M7" s="346">
        <f t="shared" ca="1" si="2"/>
        <v>0.31941001378357381</v>
      </c>
      <c r="N7" s="347" t="e">
        <f>Divident_all!#REF!</f>
        <v>#REF!</v>
      </c>
      <c r="O7" s="347" t="e">
        <f>Divident_all!#REF!</f>
        <v>#REF!</v>
      </c>
      <c r="P7" s="348" t="e">
        <f>Divident_all!#REF!</f>
        <v>#REF!</v>
      </c>
      <c r="Q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</row>
    <row r="8" spans="1:33" ht="12.75">
      <c r="A8" s="279"/>
      <c r="B8" s="339" t="e">
        <f>Divident_all!#REF!</f>
        <v>#REF!</v>
      </c>
      <c r="C8" s="339" t="e">
        <f>Divident_all!#REF!</f>
        <v>#REF!</v>
      </c>
      <c r="D8" s="385" t="e">
        <f>Divident_all!#REF!</f>
        <v>#REF!</v>
      </c>
      <c r="E8" s="341" t="str">
        <f ca="1">IFERROR(__xludf.DUMMYFUNCTION("(((H8/GOOGLEFINANCE (""Currency:gbpRON"")*100)/D8)+F8)"),"#N/A")</f>
        <v>#N/A</v>
      </c>
      <c r="F8" s="339" t="e">
        <f>Divident_all!#REF!</f>
        <v>#REF!</v>
      </c>
      <c r="G8" s="386">
        <f ca="1">IFERROR(__xludf.DUMMYFUNCTION("H8/GOOGLEFINANCE (""Currency:gbpRON"")"),4.42288938099961)</f>
        <v>4.4228893809996102</v>
      </c>
      <c r="H8" s="342">
        <v>25</v>
      </c>
      <c r="I8" s="343" t="e">
        <f t="shared" si="4"/>
        <v>#REF!</v>
      </c>
      <c r="J8" s="387" t="e">
        <f ca="1">((E8*C8)/100)/100</f>
        <v>#VALUE!</v>
      </c>
      <c r="K8" s="344">
        <f ca="1">IFERROR(__xludf.DUMMYFUNCTION("(F8*C8)/100/100*GOOGLEFINANCE (""Currency:gbpRON"")"),1.77792651988568)</f>
        <v>1.77792651988568</v>
      </c>
      <c r="L8" s="354" t="str">
        <f ca="1">IFERROR(__xludf.DUMMYFUNCTION("(((H8/GOOGLEFINANCE (""Currency:GBPRON""))/D8)*C8)/100*GOOGLEFINANCE (""Currency:GBPRON"")"),"#N/A")</f>
        <v>#N/A</v>
      </c>
      <c r="M8" s="346" t="e">
        <f t="shared" ca="1" si="2"/>
        <v>#VALUE!</v>
      </c>
      <c r="N8" s="347" t="e">
        <f>Divident_all!#REF!</f>
        <v>#REF!</v>
      </c>
      <c r="O8" s="347" t="e">
        <f>Divident_all!#REF!</f>
        <v>#REF!</v>
      </c>
      <c r="P8" s="348" t="e">
        <f>Divident_all!#REF!</f>
        <v>#REF!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</row>
    <row r="9" spans="1:33" ht="12.75">
      <c r="A9" s="279"/>
      <c r="B9" s="331" t="e">
        <f>Divident_all!#REF!</f>
        <v>#REF!</v>
      </c>
      <c r="C9" s="331" t="e">
        <f>Divident_all!#REF!</f>
        <v>#REF!</v>
      </c>
      <c r="D9" s="332" t="e">
        <f>Divident_all!#REF!</f>
        <v>#REF!</v>
      </c>
      <c r="E9" s="333">
        <f ca="1">IFERROR(__xludf.DUMMYFUNCTION("(((H9/GOOGLEFINANCE (""Currency:USDRON""))/D9)+F9)"),1.89830079412912)</f>
        <v>1.8983007941291199</v>
      </c>
      <c r="F9" s="331" t="e">
        <f>Divident_all!#REF!</f>
        <v>#REF!</v>
      </c>
      <c r="G9" s="332">
        <f ca="1">IFERROR(__xludf.DUMMYFUNCTION("H9/GOOGLEFINANCE (""Currency:USDRON"")"),5.59008988864541)</f>
        <v>5.5900898886454096</v>
      </c>
      <c r="H9" s="304">
        <v>25</v>
      </c>
      <c r="I9" s="334" t="e">
        <f t="shared" si="4"/>
        <v>#REF!</v>
      </c>
      <c r="J9" s="332" t="e">
        <f ca="1">((E9*C9)/100)</f>
        <v>#REF!</v>
      </c>
      <c r="K9" s="335">
        <f ca="1">IFERROR(__xludf.DUMMYFUNCTION("(F9*C9)/100*GOOGLEFINANCE (""Currency:USDRON"")"),1.38385976864399)</f>
        <v>1.38385976864399</v>
      </c>
      <c r="L9" s="336">
        <f ca="1">IFERROR(__xludf.DUMMYFUNCTION("(((H9/GOOGLEFINANCE (""Currency:USDRON""))/D9)*C9)/100*GOOGLEFINANCE (""Currency:USDRON"")"),0.568743818001978)</f>
        <v>0.56874381800197804</v>
      </c>
      <c r="M9" s="308">
        <f t="shared" ca="1" si="2"/>
        <v>0.41098370722871441</v>
      </c>
      <c r="N9" s="337" t="e">
        <f>Divident_all!#REF!</f>
        <v>#REF!</v>
      </c>
      <c r="O9" s="337" t="e">
        <f>Divident_all!#REF!</f>
        <v>#REF!</v>
      </c>
      <c r="P9" s="338" t="e">
        <f>Divident_all!#REF!</f>
        <v>#REF!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</row>
    <row r="10" spans="1:33" ht="12.75">
      <c r="A10" s="279"/>
      <c r="B10" s="311" t="e">
        <f>Divident_all!#REF!</f>
        <v>#REF!</v>
      </c>
      <c r="C10" s="311" t="e">
        <f>Divident_all!#REF!</f>
        <v>#REF!</v>
      </c>
      <c r="D10" s="388" t="e">
        <f>Divident_all!#REF!</f>
        <v>#REF!</v>
      </c>
      <c r="E10" s="313">
        <f ca="1">IFERROR(__xludf.DUMMYFUNCTION("(((H10/GOOGLEFINANCE (""Currency:gbpRON"")*100)/D10)+F10)"),23.6089027150703)</f>
        <v>23.6089027150703</v>
      </c>
      <c r="F10" s="311" t="e">
        <f>Divident_all!#REF!</f>
        <v>#REF!</v>
      </c>
      <c r="G10" s="389">
        <f ca="1">IFERROR(__xludf.DUMMYFUNCTION("H10/GOOGLEFINANCE (""Currency:GBPRON"")"),4.42288938099961)</f>
        <v>4.4228893809996102</v>
      </c>
      <c r="H10" s="314">
        <v>25</v>
      </c>
      <c r="I10" s="315" t="e">
        <f t="shared" si="4"/>
        <v>#REF!</v>
      </c>
      <c r="J10" s="390" t="e">
        <f ca="1">((E10*C10)/100)/100</f>
        <v>#REF!</v>
      </c>
      <c r="K10" s="316">
        <f ca="1">IFERROR(__xludf.DUMMYFUNCTION("(F10*C10)/100/100*GOOGLEFINANCE (""Currency:GBPRON"")"),2.04314166889872)</f>
        <v>2.0431416688987198</v>
      </c>
      <c r="L10" s="317">
        <f ca="1">IFERROR(__xludf.DUMMYFUNCTION("(((H10/GOOGLEFINANCE (""Currency:GBPRON""))/D10)*C10)/100*GOOGLEFINANCE (""Currency:GBPRON"")"),0.35223704866562)</f>
        <v>0.35223704866562</v>
      </c>
      <c r="M10" s="318">
        <f t="shared" ca="1" si="2"/>
        <v>0.17239971854496042</v>
      </c>
      <c r="N10" s="319" t="e">
        <f>Divident_all!#REF!</f>
        <v>#REF!</v>
      </c>
      <c r="O10" s="319" t="e">
        <f>Divident_all!#REF!</f>
        <v>#REF!</v>
      </c>
      <c r="P10" s="320" t="e">
        <f>Divident_all!#REF!</f>
        <v>#REF!</v>
      </c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</row>
    <row r="11" spans="1:33" ht="12.75">
      <c r="A11" s="279"/>
      <c r="B11" s="280" t="e">
        <f>Divident_all!#REF!</f>
        <v>#REF!</v>
      </c>
      <c r="C11" s="280" t="e">
        <f>Divident_all!#REF!</f>
        <v>#REF!</v>
      </c>
      <c r="D11" s="281" t="e">
        <f>Divident_all!#REF!</f>
        <v>#REF!</v>
      </c>
      <c r="E11" s="282">
        <f ca="1">IFERROR(__xludf.DUMMYFUNCTION("(((H11/GOOGLEFINANCE (""Currency:USDRON""))/D11)+F11)"),0.685506601454667)</f>
        <v>0.68550660145466702</v>
      </c>
      <c r="F11" s="280" t="e">
        <f>Divident_all!#REF!</f>
        <v>#REF!</v>
      </c>
      <c r="G11" s="281">
        <f ca="1">IFERROR(__xludf.DUMMYFUNCTION("H11/GOOGLEFINANCE (""Currency:USDRON"")"),5.59008988864541)</f>
        <v>5.5900898886454096</v>
      </c>
      <c r="H11" s="283">
        <v>25</v>
      </c>
      <c r="I11" s="284" t="e">
        <f t="shared" si="4"/>
        <v>#REF!</v>
      </c>
      <c r="J11" s="281" t="e">
        <f t="shared" ref="J11:J28" ca="1" si="5">((E11*C11)/100)</f>
        <v>#REF!</v>
      </c>
      <c r="K11" s="285">
        <f ca="1">IFERROR(__xludf.DUMMYFUNCTION("(F11*C11)/100*GOOGLEFINANCE (""Currency:USDRON"")"),1.37674150207)</f>
        <v>1.37674150207</v>
      </c>
      <c r="L11" s="286">
        <f ca="1">IFERROR(__xludf.DUMMYFUNCTION("(((H11/GOOGLEFINANCE (""Currency:USDRON""))/D11)*C11)/100*GOOGLEFINANCE (""Currency:USDRON"")"),0.309405940594059)</f>
        <v>0.30940594059405901</v>
      </c>
      <c r="M11" s="287">
        <f t="shared" ca="1" si="2"/>
        <v>0.2247378611953309</v>
      </c>
      <c r="N11" s="288" t="e">
        <f>Divident_all!#REF!</f>
        <v>#REF!</v>
      </c>
      <c r="O11" s="288" t="e">
        <f>Divident_all!#REF!</f>
        <v>#REF!</v>
      </c>
      <c r="P11" s="289" t="e">
        <f>Divident_all!#REF!</f>
        <v>#REF!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</row>
    <row r="12" spans="1:33" ht="12.75">
      <c r="A12" s="279"/>
      <c r="B12" s="366" t="e">
        <f>Divident_all!#REF!</f>
        <v>#REF!</v>
      </c>
      <c r="C12" s="366" t="e">
        <f>Divident_all!#REF!</f>
        <v>#REF!</v>
      </c>
      <c r="D12" s="367" t="e">
        <f>Divident_all!#REF!</f>
        <v>#REF!</v>
      </c>
      <c r="E12" s="368">
        <f ca="1">IFERROR(__xludf.DUMMYFUNCTION("(((H12/GOOGLEFINANCE (""Currency:USDRON""))/D12)+F12)"),0.268724376050508)</f>
        <v>0.26872437605050797</v>
      </c>
      <c r="F12" s="366" t="e">
        <f>Divident_all!#REF!</f>
        <v>#REF!</v>
      </c>
      <c r="G12" s="367">
        <f ca="1">IFERROR(__xludf.DUMMYFUNCTION("H12/GOOGLEFINANCE (""Currency:USDRON"")"),5.59008988864541)</f>
        <v>5.5900898886454096</v>
      </c>
      <c r="H12" s="369">
        <v>25</v>
      </c>
      <c r="I12" s="370" t="e">
        <f t="shared" si="4"/>
        <v>#REF!</v>
      </c>
      <c r="J12" s="367" t="e">
        <f t="shared" ca="1" si="5"/>
        <v>#REF!</v>
      </c>
      <c r="K12" s="371">
        <f ca="1">IFERROR(__xludf.DUMMYFUNCTION("(F12*C12)/100*GOOGLEFINANCE (""Currency:USDRON"")"),1.65934524932079)</f>
        <v>1.6593452493207901</v>
      </c>
      <c r="L12" s="372">
        <f ca="1">IFERROR(__xludf.DUMMYFUNCTION("(((H12/GOOGLEFINANCE (""Currency:USDRON""))/D12)*C12)/100*GOOGLEFINANCE (""Currency:USDRON"")"),0.335624747270521)</f>
        <v>0.335624747270521</v>
      </c>
      <c r="M12" s="373">
        <f t="shared" ca="1" si="2"/>
        <v>0.2022633610503301</v>
      </c>
      <c r="N12" s="374" t="e">
        <f>Divident_all!#REF!</f>
        <v>#REF!</v>
      </c>
      <c r="O12" s="374" t="e">
        <f>Divident_all!#REF!</f>
        <v>#REF!</v>
      </c>
      <c r="P12" s="375" t="e">
        <f>Divident_all!#REF!</f>
        <v>#REF!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</row>
    <row r="13" spans="1:33" ht="12.75">
      <c r="A13" s="279"/>
      <c r="B13" s="280" t="e">
        <f>Divident_all!#REF!</f>
        <v>#REF!</v>
      </c>
      <c r="C13" s="280" t="e">
        <f>Divident_all!#REF!</f>
        <v>#REF!</v>
      </c>
      <c r="D13" s="281" t="e">
        <f>Divident_all!#REF!</f>
        <v>#REF!</v>
      </c>
      <c r="E13" s="282">
        <f ca="1">IFERROR(__xludf.DUMMYFUNCTION("(((H13/GOOGLEFINANCE (""Currency:USDRON""))/D13)+F13)"),1.02012306336211)</f>
        <v>1.0201230633621099</v>
      </c>
      <c r="F13" s="280" t="e">
        <f>Divident_all!#REF!</f>
        <v>#REF!</v>
      </c>
      <c r="G13" s="281">
        <f ca="1">IFERROR(__xludf.DUMMYFUNCTION("H13/GOOGLEFINANCE (""Currency:USDRON"")"),5.59008988864541)</f>
        <v>5.5900898886454096</v>
      </c>
      <c r="H13" s="283">
        <v>25</v>
      </c>
      <c r="I13" s="284" t="e">
        <f>D13/(C13*3)</f>
        <v>#REF!</v>
      </c>
      <c r="J13" s="281" t="e">
        <f t="shared" ca="1" si="5"/>
        <v>#REF!</v>
      </c>
      <c r="K13" s="330">
        <f ca="1">IFERROR(__xludf.DUMMYFUNCTION("(F13*C13)/100*GOOGLEFINANCE (""Currency:USDRON"")"),1.062088712931)</f>
        <v>1.0620887129309999</v>
      </c>
      <c r="L13" s="286">
        <f ca="1">IFERROR(__xludf.DUMMYFUNCTION("(((H13/GOOGLEFINANCE (""Currency:USDRON""))/D13)*C13)/100*GOOGLEFINANCE (""Currency:USDRON"")"),0.101270849880857)</f>
        <v>0.10127084988085699</v>
      </c>
      <c r="M13" s="287">
        <f t="shared" ca="1" si="2"/>
        <v>9.5350650701657727E-2</v>
      </c>
      <c r="N13" s="288" t="e">
        <f>Divident_all!#REF!</f>
        <v>#REF!</v>
      </c>
      <c r="O13" s="288" t="e">
        <f>Divident_all!#REF!</f>
        <v>#REF!</v>
      </c>
      <c r="P13" s="289" t="e">
        <f>Divident_all!#REF!</f>
        <v>#REF!</v>
      </c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</row>
    <row r="14" spans="1:33" ht="12.75">
      <c r="A14" s="279"/>
      <c r="B14" s="311" t="e">
        <f>Divident_all!#REF!</f>
        <v>#REF!</v>
      </c>
      <c r="C14" s="311" t="e">
        <f>Divident_all!#REF!</f>
        <v>#REF!</v>
      </c>
      <c r="D14" s="312" t="e">
        <f>Divident_all!#REF!</f>
        <v>#REF!</v>
      </c>
      <c r="E14" s="313">
        <f ca="1">IFERROR(__xludf.DUMMYFUNCTION("(((H14/GOOGLEFINANCE (""Currency:USDRON""))/D14)+F14)"),0.928766535110299)</f>
        <v>0.92876653511029905</v>
      </c>
      <c r="F14" s="311" t="e">
        <f>Divident_all!#REF!</f>
        <v>#REF!</v>
      </c>
      <c r="G14" s="312">
        <f ca="1">IFERROR(__xludf.DUMMYFUNCTION("H14/GOOGLEFINANCE (""Currency:USDRON"")"),5.59008988864541)</f>
        <v>5.5900898886454096</v>
      </c>
      <c r="H14" s="314">
        <v>25</v>
      </c>
      <c r="I14" s="315" t="e">
        <f t="shared" ref="I14:I28" si="6">D14/C14</f>
        <v>#REF!</v>
      </c>
      <c r="J14" s="312" t="e">
        <f t="shared" ca="1" si="5"/>
        <v>#REF!</v>
      </c>
      <c r="K14" s="316">
        <f ca="1">IFERROR(__xludf.DUMMYFUNCTION("(F14*C14)/100*GOOGLEFINANCE (""Currency:USDRON"")"),1.38029479555823)</f>
        <v>1.3802947955582301</v>
      </c>
      <c r="L14" s="317">
        <f ca="1">IFERROR(__xludf.DUMMYFUNCTION("(((H14/GOOGLEFINANCE (""Currency:USDRON""))/D14)*C14)/100*GOOGLEFINANCE (""Currency:USDRON"")"),0.267034742795583)</f>
        <v>0.26703474279558298</v>
      </c>
      <c r="M14" s="318">
        <f t="shared" ca="1" si="2"/>
        <v>0.19346210943843095</v>
      </c>
      <c r="N14" s="319" t="e">
        <f>Divident_all!#REF!</f>
        <v>#REF!</v>
      </c>
      <c r="O14" s="319" t="e">
        <f>Divident_all!#REF!</f>
        <v>#REF!</v>
      </c>
      <c r="P14" s="320" t="e">
        <f>Divident_all!#REF!</f>
        <v>#REF!</v>
      </c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</row>
    <row r="15" spans="1:33" ht="12.75">
      <c r="A15" s="279"/>
      <c r="B15" s="391" t="e">
        <f>Divident_all!#REF!</f>
        <v>#REF!</v>
      </c>
      <c r="C15" s="391" t="e">
        <f>Divident_all!#REF!</f>
        <v>#REF!</v>
      </c>
      <c r="D15" s="392" t="e">
        <f>Divident_all!#REF!</f>
        <v>#REF!</v>
      </c>
      <c r="E15" s="393">
        <f ca="1">IFERROR(__xludf.DUMMYFUNCTION("(((H15/GOOGLEFINANCE (""Currency:USDRON""))/D15)+F15)"),0.454773207214377)</f>
        <v>0.45477320721437697</v>
      </c>
      <c r="F15" s="391" t="e">
        <f>Divident_all!#REF!</f>
        <v>#REF!</v>
      </c>
      <c r="G15" s="392">
        <f ca="1">IFERROR(__xludf.DUMMYFUNCTION("H15/GOOGLEFINANCE (""Currency:USDRON"")"),5.59008988864541)</f>
        <v>5.5900898886454096</v>
      </c>
      <c r="H15" s="100">
        <v>25</v>
      </c>
      <c r="I15" s="394" t="e">
        <f t="shared" si="6"/>
        <v>#REF!</v>
      </c>
      <c r="J15" s="392" t="e">
        <f t="shared" ca="1" si="5"/>
        <v>#REF!</v>
      </c>
      <c r="K15" s="395">
        <f ca="1">IFERROR(__xludf.DUMMYFUNCTION("(F15*C15)/100*GOOGLEFINANCE (""Currency:USDRON"")"),1.19016556666)</f>
        <v>1.19016556666</v>
      </c>
      <c r="L15" s="396">
        <f ca="1">IFERROR(__xludf.DUMMYFUNCTION("(((H15/GOOGLEFINANCE (""Currency:USDRON""))/D15)*C15)/100*GOOGLEFINANCE (""Currency:USDRON"")"),0.233520149452895)</f>
        <v>0.23352014945289501</v>
      </c>
      <c r="M15" s="397">
        <f t="shared" ca="1" si="2"/>
        <v>0.19620812094928114</v>
      </c>
      <c r="N15" s="398" t="e">
        <f>Divident_all!#REF!</f>
        <v>#REF!</v>
      </c>
      <c r="O15" s="398" t="e">
        <f>Divident_all!#REF!</f>
        <v>#REF!</v>
      </c>
      <c r="P15" s="399" t="e">
        <f>Divident_all!#REF!</f>
        <v>#REF!</v>
      </c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</row>
    <row r="16" spans="1:33" ht="12.75">
      <c r="A16" s="279"/>
      <c r="B16" s="400" t="e">
        <f>Divident_all!#REF!</f>
        <v>#REF!</v>
      </c>
      <c r="C16" s="400" t="e">
        <f>Divident_all!#REF!</f>
        <v>#REF!</v>
      </c>
      <c r="D16" s="401" t="e">
        <f>Divident_all!#REF!</f>
        <v>#REF!</v>
      </c>
      <c r="E16" s="402">
        <f ca="1">IFERROR(__xludf.DUMMYFUNCTION("(((H16/GOOGLEFINANCE (""Currency:USDRON""))/D16)+F16)"),0.313009975270897)</f>
        <v>0.31300997527089702</v>
      </c>
      <c r="F16" s="400" t="e">
        <f>Divident_all!#REF!</f>
        <v>#REF!</v>
      </c>
      <c r="G16" s="401">
        <f ca="1">IFERROR(__xludf.DUMMYFUNCTION("H16/GOOGLEFINANCE (""Currency:USDRON"")"),4.47207191091632)</f>
        <v>4.4720719109163198</v>
      </c>
      <c r="H16" s="403">
        <v>20</v>
      </c>
      <c r="I16" s="404" t="e">
        <f t="shared" si="6"/>
        <v>#REF!</v>
      </c>
      <c r="J16" s="401" t="e">
        <f t="shared" ca="1" si="5"/>
        <v>#REF!</v>
      </c>
      <c r="K16" s="395">
        <f ca="1">IFERROR(__xludf.DUMMYFUNCTION("(F16*C16)/100*GOOGLEFINANCE (""Currency:USDRON"")"),1.2045477414732)</f>
        <v>1.2045477414732</v>
      </c>
      <c r="L16" s="405">
        <f ca="1">IFERROR(__xludf.DUMMYFUNCTION("(((H16/GOOGLEFINANCE (""Currency:USDRON""))/D16)*C16)/100*GOOGLEFINANCE (""Currency:USDRON"")"),0.202294685990338)</f>
        <v>0.20229468599033801</v>
      </c>
      <c r="M16" s="397">
        <f t="shared" ca="1" si="2"/>
        <v>0.16794243932824549</v>
      </c>
      <c r="N16" s="406" t="e">
        <f>Divident_all!#REF!</f>
        <v>#REF!</v>
      </c>
      <c r="O16" s="406" t="e">
        <f>Divident_all!#REF!</f>
        <v>#REF!</v>
      </c>
      <c r="P16" s="407" t="e">
        <f>Divident_all!#REF!</f>
        <v>#REF!</v>
      </c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</row>
    <row r="17" spans="1:33" ht="12.75">
      <c r="A17" s="279"/>
      <c r="B17" s="391" t="e">
        <f>Divident_all!#REF!</f>
        <v>#REF!</v>
      </c>
      <c r="C17" s="391" t="e">
        <f>Divident_all!#REF!</f>
        <v>#REF!</v>
      </c>
      <c r="D17" s="392" t="e">
        <f>Divident_all!#REF!</f>
        <v>#REF!</v>
      </c>
      <c r="E17" s="393">
        <f ca="1">IFERROR(__xludf.DUMMYFUNCTION("(((H17/GOOGLEFINANCE (""Currency:USDRON""))/D17)+F17)"),0.63977034986007)</f>
        <v>0.63977034986006998</v>
      </c>
      <c r="F17" s="391" t="e">
        <f>Divident_all!#REF!</f>
        <v>#REF!</v>
      </c>
      <c r="G17" s="392">
        <f ca="1">IFERROR(__xludf.DUMMYFUNCTION("H17/GOOGLEFINANCE (""Currency:USDRON"")"),4.47207191091632)</f>
        <v>4.4720719109163198</v>
      </c>
      <c r="H17" s="100">
        <v>20</v>
      </c>
      <c r="I17" s="394" t="e">
        <f t="shared" si="6"/>
        <v>#REF!</v>
      </c>
      <c r="J17" s="392" t="e">
        <f t="shared" ca="1" si="5"/>
        <v>#REF!</v>
      </c>
      <c r="K17" s="395">
        <f ca="1">IFERROR(__xludf.DUMMYFUNCTION("(F17*C17)/100*GOOGLEFINANCE (""Currency:USDRON"")"),1.181509109257)</f>
        <v>1.181509109257</v>
      </c>
      <c r="L17" s="396">
        <f ca="1">IFERROR(__xludf.DUMMYFUNCTION("(((H17/GOOGLEFINANCE (""Currency:USDRON""))/D17)*C17)/100*GOOGLEFINANCE (""Currency:USDRON"")"),0.206163655685441)</f>
        <v>0.20616365568544101</v>
      </c>
      <c r="M17" s="397">
        <f t="shared" ca="1" si="2"/>
        <v>0.17449180380427909</v>
      </c>
      <c r="N17" s="398" t="e">
        <f>Divident_all!#REF!</f>
        <v>#REF!</v>
      </c>
      <c r="O17" s="398" t="e">
        <f>Divident_all!#REF!</f>
        <v>#REF!</v>
      </c>
      <c r="P17" s="399" t="e">
        <f>Divident_all!#REF!</f>
        <v>#REF!</v>
      </c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</row>
    <row r="18" spans="1:33" ht="12.75">
      <c r="A18" s="279"/>
      <c r="B18" s="339" t="e">
        <f>Divident_all!#REF!</f>
        <v>#REF!</v>
      </c>
      <c r="C18" s="339" t="e">
        <f>Divident_all!#REF!</f>
        <v>#REF!</v>
      </c>
      <c r="D18" s="340" t="e">
        <f>Divident_all!#REF!</f>
        <v>#REF!</v>
      </c>
      <c r="E18" s="341">
        <f ca="1">IFERROR(__xludf.DUMMYFUNCTION("(((H18/GOOGLEFINANCE (""Currency:USDRON""))/D18)+F18)"),1.24759611338532)</f>
        <v>1.2475961133853199</v>
      </c>
      <c r="F18" s="339" t="e">
        <f>Divident_all!#REF!</f>
        <v>#REF!</v>
      </c>
      <c r="G18" s="340">
        <f ca="1">IFERROR(__xludf.DUMMYFUNCTION("H18/GOOGLEFINANCE (""Currency:USDRON"")"),4.47207191091632)</f>
        <v>4.4720719109163198</v>
      </c>
      <c r="H18" s="342">
        <v>20</v>
      </c>
      <c r="I18" s="343" t="e">
        <f t="shared" si="6"/>
        <v>#REF!</v>
      </c>
      <c r="J18" s="340" t="e">
        <f t="shared" ca="1" si="5"/>
        <v>#REF!</v>
      </c>
      <c r="K18" s="344">
        <f ca="1">IFERROR(__xludf.DUMMYFUNCTION("(F18*C18)/100*GOOGLEFINANCE (""Currency:USDRON"")"),1.43688297684)</f>
        <v>1.43688297684</v>
      </c>
      <c r="L18" s="345">
        <f ca="1">IFERROR(__xludf.DUMMYFUNCTION("(((H18/GOOGLEFINANCE (""Currency:USDRON""))/D18)*C18)/100*GOOGLEFINANCE (""Currency:USDRON"")"),0.236966824644549)</f>
        <v>0.23696682464454899</v>
      </c>
      <c r="M18" s="346">
        <f t="shared" ca="1" si="2"/>
        <v>0.16491727472872397</v>
      </c>
      <c r="N18" s="347" t="e">
        <f>Divident_all!#REF!</f>
        <v>#REF!</v>
      </c>
      <c r="O18" s="347" t="e">
        <f>Divident_all!#REF!</f>
        <v>#REF!</v>
      </c>
      <c r="P18" s="348" t="e">
        <f>Divident_all!#REF!</f>
        <v>#REF!</v>
      </c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</row>
    <row r="19" spans="1:33" ht="12.75">
      <c r="A19" s="279"/>
      <c r="B19" s="311" t="e">
        <f>Divident_all!#REF!</f>
        <v>#REF!</v>
      </c>
      <c r="C19" s="311" t="e">
        <f>Divident_all!#REF!</f>
        <v>#REF!</v>
      </c>
      <c r="D19" s="312" t="e">
        <f>Divident_all!#REF!</f>
        <v>#REF!</v>
      </c>
      <c r="E19" s="313">
        <f ca="1">IFERROR(__xludf.DUMMYFUNCTION("(((H19/GOOGLEFINANCE (""Currency:USDRON""))/D19)+F19)"),0.168570312564236)</f>
        <v>0.16857031256423599</v>
      </c>
      <c r="F19" s="311" t="e">
        <f>Divident_all!#REF!</f>
        <v>#REF!</v>
      </c>
      <c r="G19" s="312">
        <f ca="1">IFERROR(__xludf.DUMMYFUNCTION("H19/GOOGLEFINANCE (""Currency:USDRON"")"),4.47207191091632)</f>
        <v>4.4720719109163198</v>
      </c>
      <c r="H19" s="314">
        <v>20</v>
      </c>
      <c r="I19" s="315" t="e">
        <f t="shared" si="6"/>
        <v>#REF!</v>
      </c>
      <c r="J19" s="312" t="e">
        <f t="shared" ca="1" si="5"/>
        <v>#REF!</v>
      </c>
      <c r="K19" s="316">
        <f ca="1">IFERROR(__xludf.DUMMYFUNCTION("(F19*C19)/100*GOOGLEFINANCE (""Currency:USDRON"")"),0.949856438943)</f>
        <v>0.94985643894299998</v>
      </c>
      <c r="L19" s="317">
        <f ca="1">IFERROR(__xludf.DUMMYFUNCTION("(((H19/GOOGLEFINANCE (""Currency:USDRON""))/D19)*C19)/100*GOOGLEFINANCE (""Currency:USDRON"")"),0.188502590350165)</f>
        <v>0.18850259035016501</v>
      </c>
      <c r="M19" s="318">
        <f t="shared" ca="1" si="2"/>
        <v>0.19845376903475082</v>
      </c>
      <c r="N19" s="319" t="e">
        <f>Divident_all!#REF!</f>
        <v>#REF!</v>
      </c>
      <c r="O19" s="319" t="e">
        <f>Divident_all!#REF!</f>
        <v>#REF!</v>
      </c>
      <c r="P19" s="320" t="e">
        <f>Divident_all!#REF!</f>
        <v>#REF!</v>
      </c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</row>
    <row r="20" spans="1:33" ht="12.75">
      <c r="A20" s="279"/>
      <c r="B20" s="408" t="e">
        <f>Divident_all!#REF!</f>
        <v>#REF!</v>
      </c>
      <c r="C20" s="408" t="e">
        <f>Divident_all!#REF!</f>
        <v>#REF!</v>
      </c>
      <c r="D20" s="409" t="e">
        <f>Divident_all!#REF!</f>
        <v>#REF!</v>
      </c>
      <c r="E20" s="410">
        <f ca="1">IFERROR(__xludf.DUMMYFUNCTION("(((H20/GOOGLEFINANCE (""Currency:USDRON""))/D20)+F20)"),0.175722792075954)</f>
        <v>0.17572279207595401</v>
      </c>
      <c r="F20" s="408" t="e">
        <f>Divident_all!#REF!</f>
        <v>#REF!</v>
      </c>
      <c r="G20" s="409">
        <f ca="1">IFERROR(__xludf.DUMMYFUNCTION("H20/GOOGLEFINANCE (""Currency:USDRON"")"),4.47207191091632)</f>
        <v>4.4720719109163198</v>
      </c>
      <c r="H20" s="411">
        <v>20</v>
      </c>
      <c r="I20" s="412" t="e">
        <f t="shared" si="6"/>
        <v>#REF!</v>
      </c>
      <c r="J20" s="409" t="e">
        <f t="shared" ca="1" si="5"/>
        <v>#REF!</v>
      </c>
      <c r="K20" s="413">
        <f ca="1">IFERROR(__xludf.DUMMYFUNCTION("(E20*C20)/100*GOOGLEFINANCE (""Currency:usdRON"")"),0.935182290159281)</f>
        <v>0.935182290159281</v>
      </c>
      <c r="L20" s="414">
        <f ca="1">IFERROR(__xludf.DUMMYFUNCTION("(((H20/GOOGLEFINANCE (""Currency:usdRON""))/D20)*C20)/100*GOOGLEFINANCE (""Currency:usdRON"")"),0.146299483648881)</f>
        <v>0.14629948364888101</v>
      </c>
      <c r="M20" s="415">
        <f t="shared" ca="1" si="2"/>
        <v>0.15643953610794231</v>
      </c>
      <c r="N20" s="416" t="e">
        <f>Divident_all!#REF!</f>
        <v>#REF!</v>
      </c>
      <c r="O20" s="416" t="e">
        <f>Divident_all!#REF!</f>
        <v>#REF!</v>
      </c>
      <c r="P20" s="417" t="e">
        <f>Divident_all!#REF!</f>
        <v>#REF!</v>
      </c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</row>
    <row r="21" spans="1:33" ht="12.75">
      <c r="A21" s="279"/>
      <c r="B21" s="418" t="e">
        <f>Divident_all!#REF!</f>
        <v>#REF!</v>
      </c>
      <c r="C21" s="418" t="e">
        <f>Divident_all!#REF!</f>
        <v>#REF!</v>
      </c>
      <c r="D21" s="419" t="e">
        <f>Divident_all!#REF!</f>
        <v>#REF!</v>
      </c>
      <c r="E21" s="420">
        <f ca="1">IFERROR(__xludf.DUMMYFUNCTION("(((H21/GOOGLEFINANCE (""Currency:USDRON""))/D21)+F21)"),0.103052734690287)</f>
        <v>0.103052734690287</v>
      </c>
      <c r="F21" s="418" t="e">
        <f>Divident_all!#REF!</f>
        <v>#REF!</v>
      </c>
      <c r="G21" s="419">
        <f ca="1">IFERROR(__xludf.DUMMYFUNCTION("H21/GOOGLEFINANCE (""Currency:USDRON"")"),3.35405393318724)</f>
        <v>3.3540539331872399</v>
      </c>
      <c r="H21" s="421">
        <v>15</v>
      </c>
      <c r="I21" s="422" t="e">
        <f t="shared" si="6"/>
        <v>#REF!</v>
      </c>
      <c r="J21" s="419" t="e">
        <f t="shared" ca="1" si="5"/>
        <v>#REF!</v>
      </c>
      <c r="K21" s="423">
        <f ca="1">IFERROR(__xludf.DUMMYFUNCTION("(F21*C21)/100*GOOGLEFINANCE (""Currency:USDRON"")"),0.619541106491799)</f>
        <v>0.61954110649179905</v>
      </c>
      <c r="L21" s="424">
        <f ca="1">IFERROR(__xludf.DUMMYFUNCTION("(((H21/GOOGLEFINANCE (""Currency:USDRON""))/D21)*C21)/100*GOOGLEFINANCE (""Currency:USDRON"")"),0.104028624436787)</f>
        <v>0.104028624436787</v>
      </c>
      <c r="M21" s="425">
        <f t="shared" ca="1" si="2"/>
        <v>0.16791238441926376</v>
      </c>
      <c r="N21" s="426" t="e">
        <f>Divident_all!#REF!</f>
        <v>#REF!</v>
      </c>
      <c r="O21" s="426" t="e">
        <f>Divident_all!#REF!</f>
        <v>#REF!</v>
      </c>
      <c r="P21" s="427" t="e">
        <f>Divident_all!#REF!</f>
        <v>#REF!</v>
      </c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</row>
    <row r="22" spans="1:33" ht="12.75">
      <c r="A22" s="279"/>
      <c r="B22" s="418" t="e">
        <f>Divident_all!#REF!</f>
        <v>#REF!</v>
      </c>
      <c r="C22" s="418" t="e">
        <f>Divident_all!#REF!</f>
        <v>#REF!</v>
      </c>
      <c r="D22" s="419" t="e">
        <f>Divident_all!#REF!</f>
        <v>#REF!</v>
      </c>
      <c r="E22" s="420">
        <f ca="1">IFERROR(__xludf.DUMMYFUNCTION("(((H22/GOOGLEFINANCE (""Currency:USDRON""))/D22)+F22)"),0.283957975511697)</f>
        <v>0.28395797551169699</v>
      </c>
      <c r="F22" s="418" t="e">
        <f>Divident_all!#REF!</f>
        <v>#REF!</v>
      </c>
      <c r="G22" s="419">
        <f ca="1">IFERROR(__xludf.DUMMYFUNCTION("H22/GOOGLEFINANCE (""Currency:USDRON"")"),3.35405393318724)</f>
        <v>3.3540539331872399</v>
      </c>
      <c r="H22" s="421">
        <v>15</v>
      </c>
      <c r="I22" s="422" t="e">
        <f t="shared" si="6"/>
        <v>#REF!</v>
      </c>
      <c r="J22" s="419" t="e">
        <f t="shared" ca="1" si="5"/>
        <v>#REF!</v>
      </c>
      <c r="K22" s="423">
        <f ca="1">IFERROR(__xludf.DUMMYFUNCTION("(F22*C22)/100*GOOGLEFINANCE (""Currency:USDRON"")"),0.567939704591999)</f>
        <v>0.56793970459199905</v>
      </c>
      <c r="L22" s="424">
        <f ca="1">IFERROR(__xludf.DUMMYFUNCTION("(((H22/GOOGLEFINANCE (""Currency:USDRON""))/D22)*C22)/100*GOOGLEFINANCE (""Currency:USDRON"")"),0.0924170616113743)</f>
        <v>9.2417061611374293E-2</v>
      </c>
      <c r="M22" s="425">
        <f t="shared" ca="1" si="2"/>
        <v>0.16272336810430535</v>
      </c>
      <c r="N22" s="426" t="e">
        <f>Divident_all!#REF!</f>
        <v>#REF!</v>
      </c>
      <c r="O22" s="426" t="e">
        <f>Divident_all!#REF!</f>
        <v>#REF!</v>
      </c>
      <c r="P22" s="427" t="e">
        <f>Divident_all!#REF!</f>
        <v>#REF!</v>
      </c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</row>
    <row r="23" spans="1:33" ht="12.75">
      <c r="A23" s="279"/>
      <c r="B23" s="418" t="e">
        <f>Divident_all!#REF!</f>
        <v>#REF!</v>
      </c>
      <c r="C23" s="418" t="e">
        <f>Divident_all!#REF!</f>
        <v>#REF!</v>
      </c>
      <c r="D23" s="419" t="e">
        <f>Divident_all!#REF!</f>
        <v>#REF!</v>
      </c>
      <c r="E23" s="420">
        <f ca="1">IFERROR(__xludf.DUMMYFUNCTION("(((H23/GOOGLEFINANCE (""Currency:USDRON""))/D23)+F23)"),0.0603635787442489)</f>
        <v>6.03635787442489E-2</v>
      </c>
      <c r="F23" s="418" t="e">
        <f>Divident_all!#REF!</f>
        <v>#REF!</v>
      </c>
      <c r="G23" s="419">
        <f ca="1">IFERROR(__xludf.DUMMYFUNCTION("H23/GOOGLEFINANCE (""Currency:USDRON"")"),2.23603595545816)</f>
        <v>2.2360359554581599</v>
      </c>
      <c r="H23" s="421">
        <v>10</v>
      </c>
      <c r="I23" s="422" t="e">
        <f t="shared" si="6"/>
        <v>#REF!</v>
      </c>
      <c r="J23" s="419" t="e">
        <f t="shared" ca="1" si="5"/>
        <v>#REF!</v>
      </c>
      <c r="K23" s="423">
        <f ca="1">IFERROR(__xludf.DUMMYFUNCTION("(F23*C23)/100*GOOGLEFINANCE (""Currency:USDRON"")"),0.355133394908799)</f>
        <v>0.35513339490879903</v>
      </c>
      <c r="L23" s="424">
        <f ca="1">IFERROR(__xludf.DUMMYFUNCTION("(((H23/GOOGLEFINANCE (""Currency:USDRON""))/D23)*C23)/100*GOOGLEFINANCE (""Currency:USDRON"")"),0.0444044404440444)</f>
        <v>4.4404440444044402E-2</v>
      </c>
      <c r="M23" s="425">
        <f t="shared" ca="1" si="2"/>
        <v>0.1250359472824227</v>
      </c>
      <c r="N23" s="426" t="e">
        <f>Divident_all!#REF!</f>
        <v>#REF!</v>
      </c>
      <c r="O23" s="426" t="e">
        <f>Divident_all!#REF!</f>
        <v>#REF!</v>
      </c>
      <c r="P23" s="427" t="e">
        <f>Divident_all!#REF!</f>
        <v>#REF!</v>
      </c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</row>
    <row r="24" spans="1:33" ht="12.75">
      <c r="A24" s="279"/>
      <c r="B24" s="391" t="e">
        <f>Divident_all!#REF!</f>
        <v>#REF!</v>
      </c>
      <c r="C24" s="391" t="e">
        <f>Divident_all!#REF!</f>
        <v>#REF!</v>
      </c>
      <c r="D24" s="392" t="e">
        <f>Divident_all!#REF!</f>
        <v>#REF!</v>
      </c>
      <c r="E24" s="393">
        <f ca="1">IFERROR(__xludf.DUMMYFUNCTION("(((H24/GOOGLEFINANCE (""Currency:USDRON""))/D24)+F24)"),0.20613226887608)</f>
        <v>0.20613226887607999</v>
      </c>
      <c r="F24" s="391" t="e">
        <f>Divident_all!#REF!</f>
        <v>#REF!</v>
      </c>
      <c r="G24" s="392">
        <f ca="1">IFERROR(__xludf.DUMMYFUNCTION("H24/GOOGLEFINANCE (""Currency:USDRON"")"),2.23603595545816)</f>
        <v>2.2360359554581599</v>
      </c>
      <c r="H24" s="100">
        <v>10</v>
      </c>
      <c r="I24" s="394" t="e">
        <f t="shared" si="6"/>
        <v>#REF!</v>
      </c>
      <c r="J24" s="392" t="e">
        <f t="shared" ca="1" si="5"/>
        <v>#REF!</v>
      </c>
      <c r="K24" s="395">
        <f ca="1">IFERROR(__xludf.DUMMYFUNCTION("(F24*C24)/100*GOOGLEFINANCE (""Currency:USDRON"")"),0.322702234835999)</f>
        <v>0.32270223483599902</v>
      </c>
      <c r="L24" s="396">
        <f ca="1">IFERROR(__xludf.DUMMYFUNCTION("(((H24/GOOGLEFINANCE (""Currency:USDRON""))/D24)*C24)/100*GOOGLEFINANCE (""Currency:USDRON"")"),0.0437389964788732)</f>
        <v>4.37389964788732E-2</v>
      </c>
      <c r="M24" s="397">
        <f t="shared" ca="1" si="2"/>
        <v>0.13553980033978338</v>
      </c>
      <c r="N24" s="398" t="e">
        <f>Divident_all!#REF!</f>
        <v>#REF!</v>
      </c>
      <c r="O24" s="398" t="e">
        <f>Divident_all!#REF!</f>
        <v>#REF!</v>
      </c>
      <c r="P24" s="399" t="e">
        <f>Divident_all!#REF!</f>
        <v>#REF!</v>
      </c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</row>
    <row r="25" spans="1:33" ht="12.75">
      <c r="A25" s="279"/>
      <c r="B25" s="418" t="e">
        <f>Divident_all!#REF!</f>
        <v>#REF!</v>
      </c>
      <c r="C25" s="418" t="e">
        <f>Divident_all!#REF!</f>
        <v>#REF!</v>
      </c>
      <c r="D25" s="419" t="e">
        <f>Divident_all!#REF!</f>
        <v>#REF!</v>
      </c>
      <c r="E25" s="420">
        <f ca="1">IFERROR(__xludf.DUMMYFUNCTION("(((H25/GOOGLEFINANCE (""Currency:USDRON""))/D25)+F25)"),0.111271926458087)</f>
        <v>0.11127192645808701</v>
      </c>
      <c r="F25" s="418" t="e">
        <f>Divident_all!#REF!</f>
        <v>#REF!</v>
      </c>
      <c r="G25" s="419">
        <f ca="1">IFERROR(__xludf.DUMMYFUNCTION("H25/GOOGLEFINANCE (""Currency:USDRON"")"),2.23603595545816)</f>
        <v>2.2360359554581599</v>
      </c>
      <c r="H25" s="421">
        <v>10</v>
      </c>
      <c r="I25" s="422" t="e">
        <f t="shared" si="6"/>
        <v>#REF!</v>
      </c>
      <c r="J25" s="419" t="e">
        <f t="shared" ca="1" si="5"/>
        <v>#REF!</v>
      </c>
      <c r="K25" s="423">
        <f ca="1">IFERROR(__xludf.DUMMYFUNCTION("(F25*C25)/100*GOOGLEFINANCE (""Currency:USDRON"")"),0.216357627800699)</f>
        <v>0.216357627800699</v>
      </c>
      <c r="L25" s="424">
        <f ca="1">IFERROR(__xludf.DUMMYFUNCTION("(((H25/GOOGLEFINANCE (""Currency:USDRON""))/D25)*C25)/100*GOOGLEFINANCE (""Currency:USDRON"")"),0.0349456784997578)</f>
        <v>3.4945678499757798E-2</v>
      </c>
      <c r="M25" s="425">
        <f t="shared" ca="1" si="2"/>
        <v>0.16151812559134046</v>
      </c>
      <c r="N25" s="426" t="e">
        <f>Divident_all!#REF!</f>
        <v>#REF!</v>
      </c>
      <c r="O25" s="426" t="e">
        <f>Divident_all!#REF!</f>
        <v>#REF!</v>
      </c>
      <c r="P25" s="427" t="e">
        <f>Divident_all!#REF!</f>
        <v>#REF!</v>
      </c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</row>
    <row r="26" spans="1:33" ht="12.75">
      <c r="A26" s="279"/>
      <c r="B26" s="366" t="e">
        <f>Divident_all!#REF!</f>
        <v>#REF!</v>
      </c>
      <c r="C26" s="366" t="e">
        <f>Divident_all!#REF!</f>
        <v>#REF!</v>
      </c>
      <c r="D26" s="367" t="e">
        <f>Divident_all!#REF!</f>
        <v>#REF!</v>
      </c>
      <c r="E26" s="368">
        <f ca="1">IFERROR(__xludf.DUMMYFUNCTION("(((H26/GOOGLEFINANCE (""Currency:USDRON""))/D26)+F26)"),0.106749547070935)</f>
        <v>0.10674954707093499</v>
      </c>
      <c r="F26" s="366" t="e">
        <f>Divident_all!#REF!</f>
        <v>#REF!</v>
      </c>
      <c r="G26" s="367">
        <f ca="1">IFERROR(__xludf.DUMMYFUNCTION("H26/GOOGLEFINANCE (""Currency:USDRON"")"),2.23603595545816)</f>
        <v>2.2360359554581599</v>
      </c>
      <c r="H26" s="369">
        <v>10</v>
      </c>
      <c r="I26" s="370" t="e">
        <f t="shared" si="6"/>
        <v>#REF!</v>
      </c>
      <c r="J26" s="367" t="e">
        <f t="shared" ca="1" si="5"/>
        <v>#REF!</v>
      </c>
      <c r="K26" s="371">
        <f ca="1">IFERROR(__xludf.DUMMYFUNCTION("(F26*C26)/100*GOOGLEFINANCE (""Currency:USDRON"")"),0.300406153291199)</f>
        <v>0.30040615329119902</v>
      </c>
      <c r="L26" s="372">
        <f ca="1">IFERROR(__xludf.DUMMYFUNCTION("(((H26/GOOGLEFINANCE (""Currency:USDRON""))/D26)*C26)/100*GOOGLEFINANCE (""Currency:USDRON"")"),0.0242294673080349)</f>
        <v>2.4229467308034901E-2</v>
      </c>
      <c r="M26" s="373">
        <f t="shared" ca="1" si="2"/>
        <v>8.0655695772476541E-2</v>
      </c>
      <c r="N26" s="374" t="e">
        <f>Divident_all!#REF!</f>
        <v>#REF!</v>
      </c>
      <c r="O26" s="374" t="e">
        <f>Divident_all!#REF!</f>
        <v>#REF!</v>
      </c>
      <c r="P26" s="375" t="e">
        <f>Divident_all!#REF!</f>
        <v>#REF!</v>
      </c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</row>
    <row r="27" spans="1:33" ht="12.75">
      <c r="A27" s="279"/>
      <c r="B27" s="331" t="e">
        <f>Divident_all!#REF!</f>
        <v>#REF!</v>
      </c>
      <c r="C27" s="331" t="e">
        <f>Divident_all!#REF!</f>
        <v>#REF!</v>
      </c>
      <c r="D27" s="332" t="e">
        <f>Divident_all!#REF!</f>
        <v>#REF!</v>
      </c>
      <c r="E27" s="333">
        <f ca="1">IFERROR(__xludf.DUMMYFUNCTION("(((H27/GOOGLEFINANCE (""Currency:USDRON""))/D27)+F27)"),0.0484546323153098)</f>
        <v>4.8454632315309797E-2</v>
      </c>
      <c r="F27" s="331" t="e">
        <f>Divident_all!#REF!</f>
        <v>#REF!</v>
      </c>
      <c r="G27" s="332">
        <f ca="1">IFERROR(__xludf.DUMMYFUNCTION("H27/GOOGLEFINANCE (""Currency:USDRON"")"),2.23603595545816)</f>
        <v>2.2360359554581599</v>
      </c>
      <c r="H27" s="304">
        <v>10</v>
      </c>
      <c r="I27" s="334" t="e">
        <f t="shared" si="6"/>
        <v>#REF!</v>
      </c>
      <c r="J27" s="332" t="e">
        <f t="shared" ca="1" si="5"/>
        <v>#REF!</v>
      </c>
      <c r="K27" s="335">
        <f ca="1">IFERROR(__xludf.DUMMYFUNCTION("(F27*C27)/100*GOOGLEFINANCE (""Currency:USDRON"")"),0.1105951536228)</f>
        <v>0.11059515362279999</v>
      </c>
      <c r="L27" s="336">
        <f ca="1">IFERROR(__xludf.DUMMYFUNCTION("(((H27/GOOGLEFINANCE (""Currency:USDRON""))/D27)*C27)/100*GOOGLEFINANCE (""Currency:USDRON"")"),0.0324260587599489)</f>
        <v>3.2426058759948903E-2</v>
      </c>
      <c r="M27" s="308">
        <f t="shared" ca="1" si="2"/>
        <v>0.29319601897333081</v>
      </c>
      <c r="N27" s="337" t="e">
        <f>Divident_all!#REF!</f>
        <v>#REF!</v>
      </c>
      <c r="O27" s="337" t="e">
        <f>Divident_all!#REF!</f>
        <v>#REF!</v>
      </c>
      <c r="P27" s="338" t="e">
        <f>Divident_all!#REF!</f>
        <v>#REF!</v>
      </c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</row>
    <row r="28" spans="1:33" ht="12.75">
      <c r="A28" s="279"/>
      <c r="B28" s="366" t="e">
        <f>Divident_all!#REF!</f>
        <v>#REF!</v>
      </c>
      <c r="C28" s="366" t="e">
        <f>Divident_all!#REF!</f>
        <v>#REF!</v>
      </c>
      <c r="D28" s="367" t="e">
        <f>Divident_all!#REF!</f>
        <v>#REF!</v>
      </c>
      <c r="E28" s="368">
        <f ca="1">IFERROR(__xludf.DUMMYFUNCTION("(((H28/GOOGLEFINANCE (""Currency:USDRON""))/D28)+F28)"),0.119675717707312)</f>
        <v>0.119675717707312</v>
      </c>
      <c r="F28" s="366" t="e">
        <f>Divident_all!#REF!</f>
        <v>#REF!</v>
      </c>
      <c r="G28" s="367">
        <f ca="1">IFERROR(__xludf.DUMMYFUNCTION("H28/GOOGLEFINANCE (""Currency:USDRON"")"),2.23603595545816)</f>
        <v>2.2360359554581599</v>
      </c>
      <c r="H28" s="369">
        <v>10</v>
      </c>
      <c r="I28" s="370" t="e">
        <f t="shared" si="6"/>
        <v>#REF!</v>
      </c>
      <c r="J28" s="367" t="e">
        <f t="shared" ca="1" si="5"/>
        <v>#REF!</v>
      </c>
      <c r="K28" s="371">
        <f ca="1">IFERROR(__xludf.DUMMYFUNCTION("(F28*C28)/100*GOOGLEFINANCE (""Currency:USDRON"")"),0.1146240244368)</f>
        <v>0.1146240244368</v>
      </c>
      <c r="L28" s="372">
        <f ca="1">IFERROR(__xludf.DUMMYFUNCTION("(((H28/GOOGLEFINANCE (""Currency:USDRON""))/D28)*C28)/100*GOOGLEFINANCE (""Currency:USDRON"")"),0.0138272742985538)</f>
        <v>1.38272742985538E-2</v>
      </c>
      <c r="M28" s="373">
        <f t="shared" ca="1" si="2"/>
        <v>0.12063155491611371</v>
      </c>
      <c r="N28" s="374" t="e">
        <f>Divident_all!#REF!</f>
        <v>#REF!</v>
      </c>
      <c r="O28" s="374" t="e">
        <f>Divident_all!#REF!</f>
        <v>#REF!</v>
      </c>
      <c r="P28" s="375" t="e">
        <f>Divident_all!#REF!</f>
        <v>#REF!</v>
      </c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</row>
    <row r="31" spans="1:33" ht="12.75">
      <c r="A31" s="172"/>
      <c r="B31" s="376"/>
      <c r="C31" s="376"/>
      <c r="D31" s="377"/>
      <c r="E31" s="378"/>
      <c r="F31" s="376"/>
      <c r="G31" s="377"/>
      <c r="H31" s="376"/>
      <c r="I31" s="379"/>
      <c r="J31" s="377"/>
      <c r="K31" s="380"/>
      <c r="L31" s="380"/>
      <c r="M31" s="380"/>
      <c r="N31" s="381"/>
      <c r="O31" s="381"/>
      <c r="P31" s="38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</row>
    <row r="32" spans="1:33" ht="12.75">
      <c r="A32" s="172"/>
      <c r="B32" s="376"/>
      <c r="C32" s="376"/>
      <c r="D32" s="377"/>
      <c r="E32" s="378"/>
      <c r="F32" s="376"/>
      <c r="G32" s="377"/>
      <c r="H32" s="376"/>
      <c r="I32" s="379"/>
      <c r="J32" s="377"/>
      <c r="K32" s="380"/>
      <c r="L32" s="380"/>
      <c r="M32" s="380"/>
      <c r="N32" s="381"/>
      <c r="O32" s="381"/>
      <c r="P32" s="38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PlanFinanciar</vt:lpstr>
      <vt:lpstr>Earnings_summary</vt:lpstr>
      <vt:lpstr>Intrisec_values</vt:lpstr>
      <vt:lpstr>Year - ROI</vt:lpstr>
      <vt:lpstr>Divident_all</vt:lpstr>
      <vt:lpstr>Divident_special</vt:lpstr>
      <vt:lpstr>Q_investment</vt:lpstr>
      <vt:lpstr>Februarie_DI</vt:lpstr>
      <vt:lpstr>Ianuarie_DI</vt:lpstr>
      <vt:lpstr>Q_invest_detail</vt:lpstr>
      <vt:lpstr>2023</vt:lpstr>
      <vt:lpstr>May_DI</vt:lpstr>
      <vt:lpstr>Aprilie_DI</vt:lpstr>
      <vt:lpstr>Martie_DI</vt:lpstr>
      <vt:lpstr>Iunie_DI</vt:lpstr>
      <vt:lpstr>Iulie_DI</vt:lpstr>
      <vt:lpstr>August_DI</vt:lpstr>
      <vt:lpstr>Septembrie_DI</vt:lpstr>
      <vt:lpstr>Octombrie_DI</vt:lpstr>
      <vt:lpstr>Noiembrie_DI</vt:lpstr>
      <vt:lpstr>Decembrie_DI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totolici.adrian totolici.adrian</dc:creator>
  <cp:lastModifiedBy>totolici.adrian totolici.adrian</cp:lastModifiedBy>
  <dcterms:created xsi:type="dcterms:W3CDTF">2023-05-13T04:52:01Z</dcterms:created>
  <dcterms:modified xsi:type="dcterms:W3CDTF">2023-05-13T05:10:48Z</dcterms:modified>
</cp:coreProperties>
</file>