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filterPrivacy="1" defaultThemeVersion="124226"/>
  <xr:revisionPtr revIDLastSave="0" documentId="13_ncr:1_{A4011AD3-7D59-45F1-96F8-7093E4C34CD5}"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8" i="1" l="1"/>
  <c r="J62" i="1"/>
  <c r="H25" i="1"/>
  <c r="I47" i="1"/>
  <c r="J47" i="1"/>
  <c r="D37" i="1"/>
  <c r="D38" i="1"/>
  <c r="D39" i="1" s="1"/>
  <c r="D40" i="1" s="1"/>
  <c r="D41" i="1" s="1"/>
  <c r="D42" i="1" s="1"/>
  <c r="D43" i="1" s="1"/>
  <c r="C37" i="1"/>
  <c r="C38" i="1" s="1"/>
  <c r="C39" i="1" s="1"/>
  <c r="C40" i="1" s="1"/>
  <c r="C41" i="1" s="1"/>
  <c r="C42" i="1" s="1"/>
  <c r="C43" i="1" s="1"/>
  <c r="G25" i="1"/>
  <c r="G26" i="1"/>
  <c r="G27" i="1"/>
  <c r="G28" i="1"/>
  <c r="G29" i="1"/>
  <c r="G30" i="1"/>
  <c r="G31" i="1"/>
  <c r="H26" i="1"/>
  <c r="H27" i="1"/>
  <c r="H28" i="1"/>
  <c r="H29" i="1"/>
  <c r="H30" i="1"/>
  <c r="H31" i="1"/>
  <c r="F26" i="1"/>
  <c r="F27" i="1"/>
  <c r="F28" i="1"/>
  <c r="F29" i="1"/>
  <c r="F30" i="1"/>
  <c r="F31" i="1"/>
  <c r="F25" i="1"/>
  <c r="F17" i="1"/>
  <c r="G17" i="1"/>
  <c r="H16" i="1" s="1"/>
  <c r="H5" i="1"/>
  <c r="F8" i="1"/>
  <c r="G8" i="1" s="1"/>
  <c r="F9" i="1"/>
  <c r="G9" i="1" s="1"/>
  <c r="H8" i="1" s="1"/>
  <c r="F10" i="1"/>
  <c r="F11" i="1"/>
  <c r="G11" i="1" s="1"/>
  <c r="H10" i="1" s="1"/>
  <c r="F12" i="1"/>
  <c r="G12" i="1" s="1"/>
  <c r="H11" i="1" s="1"/>
  <c r="F13" i="1"/>
  <c r="G13" i="1" s="1"/>
  <c r="H12" i="1" s="1"/>
  <c r="F14" i="1"/>
  <c r="G14" i="1" s="1"/>
  <c r="H13" i="1" s="1"/>
  <c r="F15" i="1"/>
  <c r="G15" i="1" s="1"/>
  <c r="H14" i="1" s="1"/>
  <c r="F16" i="1"/>
  <c r="G16" i="1" s="1"/>
  <c r="H15" i="1" s="1"/>
  <c r="F7" i="1"/>
  <c r="G7" i="1" s="1"/>
  <c r="H6" i="1" s="1"/>
  <c r="G10" i="1"/>
  <c r="H9" i="1" s="1"/>
  <c r="D32" i="1"/>
  <c r="C32" i="1"/>
  <c r="B18" i="1"/>
  <c r="F18" i="1" s="1"/>
  <c r="G18" i="1" s="1"/>
  <c r="H17" i="1" s="1"/>
  <c r="A6" i="1"/>
  <c r="A7" i="1" s="1"/>
  <c r="A8" i="1" s="1"/>
  <c r="A9" i="1" s="1"/>
  <c r="A10" i="1" s="1"/>
  <c r="A11" i="1" s="1"/>
  <c r="A12" i="1" s="1"/>
  <c r="A13" i="1" s="1"/>
  <c r="A14" i="1" s="1"/>
  <c r="A15" i="1" s="1"/>
  <c r="A16" i="1" s="1"/>
  <c r="A17" i="1" s="1"/>
  <c r="J48" i="1" l="1"/>
  <c r="K48" i="1" s="1"/>
  <c r="I63" i="1"/>
  <c r="I62" i="1"/>
  <c r="J63" i="1"/>
  <c r="I64" i="1"/>
  <c r="K47" i="1"/>
  <c r="J49" i="1"/>
  <c r="F32" i="1"/>
  <c r="H42" i="1"/>
  <c r="H7" i="1"/>
  <c r="H20" i="1" s="1"/>
  <c r="G20" i="1"/>
  <c r="I65" i="1" l="1"/>
  <c r="J64" i="1"/>
  <c r="J51" i="1"/>
  <c r="J50" i="1"/>
  <c r="I49" i="1"/>
  <c r="K49" i="1" s="1"/>
  <c r="I66" i="1" l="1"/>
  <c r="J65" i="1"/>
  <c r="J52" i="1"/>
  <c r="I50" i="1"/>
  <c r="K50" i="1" s="1"/>
  <c r="J69" i="1" l="1"/>
  <c r="I67" i="1"/>
  <c r="J66" i="1"/>
  <c r="J53" i="1"/>
  <c r="I51" i="1"/>
  <c r="K51" i="1" s="1"/>
  <c r="I68" i="1" l="1"/>
  <c r="J67" i="1"/>
  <c r="I52" i="1"/>
  <c r="K52" i="1" s="1"/>
  <c r="I53" i="1"/>
  <c r="K53" i="1" s="1"/>
  <c r="I69" i="1" l="1"/>
  <c r="I70" i="1" s="1"/>
  <c r="J68" i="1"/>
  <c r="J70" i="1" s="1"/>
  <c r="K54" i="1"/>
  <c r="G57" i="1" s="1"/>
  <c r="H57" i="1" s="1"/>
  <c r="I71" i="1" l="1"/>
</calcChain>
</file>

<file path=xl/sharedStrings.xml><?xml version="1.0" encoding="utf-8"?>
<sst xmlns="http://schemas.openxmlformats.org/spreadsheetml/2006/main" count="66" uniqueCount="56">
  <si>
    <t>Part A</t>
  </si>
  <si>
    <t>Age x</t>
  </si>
  <si>
    <t>5Nx</t>
  </si>
  <si>
    <t>5Lx</t>
  </si>
  <si>
    <t>Life Table</t>
  </si>
  <si>
    <t>1996-2005</t>
  </si>
  <si>
    <t>Part B</t>
  </si>
  <si>
    <t>Neighborhood</t>
  </si>
  <si>
    <t>white</t>
  </si>
  <si>
    <t>non-white</t>
  </si>
  <si>
    <t>A</t>
  </si>
  <si>
    <t>B</t>
  </si>
  <si>
    <t>C</t>
  </si>
  <si>
    <t>D</t>
  </si>
  <si>
    <t>E</t>
  </si>
  <si>
    <t>F</t>
  </si>
  <si>
    <t>G</t>
  </si>
  <si>
    <t>Total</t>
  </si>
  <si>
    <t>65+</t>
  </si>
  <si>
    <t>population</t>
  </si>
  <si>
    <t>Nhat = 5Nx_1996 * (5L_x+10)/5Lx</t>
  </si>
  <si>
    <t>5NSMx</t>
  </si>
  <si>
    <t>5NMx-5 = 5NSMx*(5Lx-5/5Lx)</t>
  </si>
  <si>
    <t>Population Projection for 2006</t>
  </si>
  <si>
    <t>Net Surviving Migrants</t>
  </si>
  <si>
    <t>Number of Net Migrations</t>
  </si>
  <si>
    <t>TOTALS:</t>
  </si>
  <si>
    <t>The count of net migrations includes the migrations of those who died within the intercensal period, however, the count of net migrants only includes migrants surviving to the end of the intercensal period.</t>
  </si>
  <si>
    <t>ID = (1/2) sum|bi/B - wi/W|</t>
  </si>
  <si>
    <t>Index of Dissimilarity</t>
  </si>
  <si>
    <t>Lorenz Curve Data</t>
  </si>
  <si>
    <t>%white of total white</t>
  </si>
  <si>
    <t>%nonwhite of total nonwhite</t>
  </si>
  <si>
    <t>cum white</t>
  </si>
  <si>
    <t>cum nonwhite</t>
  </si>
  <si>
    <t>x</t>
  </si>
  <si>
    <t>y</t>
  </si>
  <si>
    <t>CUMULATIVE PROPORTIONS</t>
  </si>
  <si>
    <t>Y+X TREND LINE</t>
  </si>
  <si>
    <t>midpoint y</t>
  </si>
  <si>
    <t>area</t>
  </si>
  <si>
    <t>length x</t>
  </si>
  <si>
    <t>gini = A/(A+B)</t>
  </si>
  <si>
    <t>ID - approx</t>
  </si>
  <si>
    <t>Question 3</t>
  </si>
  <si>
    <t>Question 1</t>
  </si>
  <si>
    <t>Question 2</t>
  </si>
  <si>
    <t>Question 1a</t>
  </si>
  <si>
    <t>Question 1b</t>
  </si>
  <si>
    <t>The Index of Dissimilarity is a measure of unevenness regarding how two mutually exclusive groups are distributed across geographic units that make up a larger area.</t>
  </si>
  <si>
    <t>See graph for approx ID</t>
  </si>
  <si>
    <t>Calculated using Riemann sums and midpoint assumption between points…</t>
  </si>
  <si>
    <t>Cross Product 1</t>
  </si>
  <si>
    <t>Cross Product 2</t>
  </si>
  <si>
    <t>SORTED VALUES - by nonwhite:</t>
  </si>
  <si>
    <t>Cross Products Method: (Rowland, 2003 Ch3)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</si>
</sst>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0" tint="-0.14999847407452621"/>
        <bgColor indexed="64"/>
      </patternFill>
    </fill>
  </fills>
  <borders count="2">
    <border>
      <left/>
      <right/>
      <top/>
      <bottom/>
      <diagonal/>
    </border>
    <border>
      <left/>
      <right/>
      <top/>
      <bottom style="double">
        <color indexed="64"/>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165" fontId="0" fillId="0" borderId="0" xfId="1" applyNumberFormat="1" applyFont="1"/>
    <xf numFmtId="0" fontId="0" fillId="0" borderId="0" xfId="0" quotePrefix="1"/>
    <xf numFmtId="0" fontId="0" fillId="0" borderId="0" xfId="0" applyAlignment="1">
      <alignment horizontal="right"/>
    </xf>
    <xf numFmtId="14" fontId="0" fillId="0" borderId="0" xfId="0" applyNumberFormat="1" applyAlignment="1">
      <alignment horizontal="right"/>
    </xf>
    <xf numFmtId="2" fontId="0" fillId="0" borderId="0" xfId="0" applyNumberFormat="1"/>
    <xf numFmtId="0" fontId="2" fillId="0" borderId="0" xfId="0" applyFont="1"/>
    <xf numFmtId="165" fontId="0" fillId="0" borderId="0" xfId="0" applyNumberFormat="1"/>
    <xf numFmtId="0" fontId="0" fillId="0" borderId="0" xfId="0" applyAlignment="1">
      <alignment vertical="top"/>
    </xf>
    <xf numFmtId="0" fontId="2" fillId="0" borderId="0" xfId="0" applyFont="1" applyAlignment="1">
      <alignment horizontal="center"/>
    </xf>
    <xf numFmtId="0" fontId="0" fillId="0" borderId="0" xfId="0" applyAlignment="1">
      <alignment horizontal="center"/>
    </xf>
    <xf numFmtId="0" fontId="3" fillId="0" borderId="0" xfId="0" applyFont="1"/>
    <xf numFmtId="0" fontId="2" fillId="2" borderId="0" xfId="0" applyFont="1" applyFill="1"/>
    <xf numFmtId="0" fontId="0" fillId="2" borderId="0" xfId="0" applyFill="1"/>
    <xf numFmtId="165" fontId="0" fillId="2" borderId="0" xfId="0" applyNumberFormat="1" applyFill="1"/>
    <xf numFmtId="0" fontId="2" fillId="3" borderId="0" xfId="0" applyFont="1" applyFill="1"/>
    <xf numFmtId="0" fontId="0" fillId="3" borderId="0" xfId="0" applyFill="1"/>
    <xf numFmtId="165" fontId="0" fillId="3" borderId="0" xfId="0" applyNumberFormat="1" applyFill="1"/>
    <xf numFmtId="0" fontId="2" fillId="4" borderId="0" xfId="0" applyFont="1" applyFill="1"/>
    <xf numFmtId="0" fontId="0" fillId="4" borderId="0" xfId="0" applyFill="1"/>
    <xf numFmtId="165" fontId="0" fillId="4" borderId="0" xfId="0" applyNumberFormat="1" applyFill="1" applyAlignment="1">
      <alignment vertical="top"/>
    </xf>
    <xf numFmtId="0" fontId="0" fillId="4" borderId="0" xfId="0" applyFill="1" applyAlignment="1">
      <alignment vertical="top" wrapText="1"/>
    </xf>
    <xf numFmtId="0" fontId="2" fillId="5" borderId="0" xfId="0" applyFont="1" applyFill="1" applyAlignment="1">
      <alignment horizontal="right"/>
    </xf>
    <xf numFmtId="0" fontId="2" fillId="5" borderId="0" xfId="0" applyFont="1" applyFill="1"/>
    <xf numFmtId="0" fontId="0" fillId="0" borderId="1" xfId="0" applyBorder="1"/>
    <xf numFmtId="0" fontId="0" fillId="5" borderId="0" xfId="0" applyFill="1" applyAlignment="1">
      <alignment wrapText="1"/>
    </xf>
    <xf numFmtId="0" fontId="0" fillId="6" borderId="0" xfId="0" applyFill="1"/>
    <xf numFmtId="0" fontId="2" fillId="6" borderId="0" xfId="0" applyFont="1" applyFill="1"/>
    <xf numFmtId="0" fontId="0" fillId="7" borderId="0" xfId="0" applyFill="1"/>
    <xf numFmtId="0" fontId="0" fillId="6" borderId="0" xfId="0" applyFill="1" applyAlignment="1">
      <alignmen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Lorenz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Sheet1!$D$35</c:f>
              <c:strCache>
                <c:ptCount val="1"/>
                <c:pt idx="0">
                  <c:v>cum nonwhite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Sheet1!$C$36:$C$43</c:f>
              <c:numCache>
                <c:formatCode>General</c:formatCode>
                <c:ptCount val="8"/>
                <c:pt idx="0">
                  <c:v>0</c:v>
                </c:pt>
                <c:pt idx="1">
                  <c:v>7.9985905567300911E-2</c:v>
                </c:pt>
                <c:pt idx="2">
                  <c:v>0.21987315010570824</c:v>
                </c:pt>
                <c:pt idx="3">
                  <c:v>0.28999295278365045</c:v>
                </c:pt>
                <c:pt idx="4">
                  <c:v>0.45983086680761098</c:v>
                </c:pt>
                <c:pt idx="5">
                  <c:v>0.55990133897110639</c:v>
                </c:pt>
                <c:pt idx="6">
                  <c:v>0.71000704721634955</c:v>
                </c:pt>
                <c:pt idx="7">
                  <c:v>1</c:v>
                </c:pt>
              </c:numCache>
            </c:numRef>
          </c:xVal>
          <c:yVal>
            <c:numRef>
              <c:f>Sheet1!$D$36:$D$43</c:f>
              <c:numCache>
                <c:formatCode>General</c:formatCode>
                <c:ptCount val="8"/>
                <c:pt idx="0">
                  <c:v>0</c:v>
                </c:pt>
                <c:pt idx="1">
                  <c:v>1.0126582278481013E-2</c:v>
                </c:pt>
                <c:pt idx="2">
                  <c:v>3.037974683544304E-2</c:v>
                </c:pt>
                <c:pt idx="3">
                  <c:v>6.0759493670886081E-2</c:v>
                </c:pt>
                <c:pt idx="4">
                  <c:v>0.10042194092827005</c:v>
                </c:pt>
                <c:pt idx="5">
                  <c:v>0.15021097046413501</c:v>
                </c:pt>
                <c:pt idx="6">
                  <c:v>0.290295358649789</c:v>
                </c:pt>
                <c:pt idx="7">
                  <c:v>1</c:v>
                </c:pt>
              </c:numCache>
            </c:numRef>
          </c:yVal>
          <c:smooth val="0"/>
          <c:extLst>
            <c:ext xmlns:c16="http://schemas.microsoft.com/office/drawing/2014/chart" uri="{C3380CC4-5D6E-409C-BE32-E72D297353CC}">
              <c16:uniqueId val="{00000000-524D-4408-B4B2-84D9EBD42D3C}"/>
            </c:ext>
          </c:extLst>
        </c:ser>
        <c:ser>
          <c:idx val="1"/>
          <c:order val="1"/>
          <c:tx>
            <c:v>Y=X</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Sheet1!$E$36:$E$43</c:f>
              <c:numCache>
                <c:formatCode>0.00</c:formatCode>
                <c:ptCount val="8"/>
                <c:pt idx="0">
                  <c:v>0</c:v>
                </c:pt>
                <c:pt idx="1">
                  <c:v>0.14285714285714285</c:v>
                </c:pt>
                <c:pt idx="2">
                  <c:v>0.2857142857142857</c:v>
                </c:pt>
                <c:pt idx="3">
                  <c:v>0.42857142857142855</c:v>
                </c:pt>
                <c:pt idx="4">
                  <c:v>0.5714285714285714</c:v>
                </c:pt>
                <c:pt idx="5">
                  <c:v>0.7142857142857143</c:v>
                </c:pt>
                <c:pt idx="6">
                  <c:v>0.8571428571428571</c:v>
                </c:pt>
                <c:pt idx="7" formatCode="General">
                  <c:v>1</c:v>
                </c:pt>
              </c:numCache>
            </c:numRef>
          </c:xVal>
          <c:yVal>
            <c:numRef>
              <c:f>Sheet1!$F$36:$F$43</c:f>
              <c:numCache>
                <c:formatCode>0.00</c:formatCode>
                <c:ptCount val="8"/>
                <c:pt idx="0">
                  <c:v>0</c:v>
                </c:pt>
                <c:pt idx="1">
                  <c:v>0.14285714285714285</c:v>
                </c:pt>
                <c:pt idx="2">
                  <c:v>0.2857142857142857</c:v>
                </c:pt>
                <c:pt idx="3">
                  <c:v>0.42857142857142855</c:v>
                </c:pt>
                <c:pt idx="4">
                  <c:v>0.5714285714285714</c:v>
                </c:pt>
                <c:pt idx="5">
                  <c:v>0.7142857142857143</c:v>
                </c:pt>
                <c:pt idx="6">
                  <c:v>0.8571428571428571</c:v>
                </c:pt>
                <c:pt idx="7" formatCode="General">
                  <c:v>1</c:v>
                </c:pt>
              </c:numCache>
            </c:numRef>
          </c:yVal>
          <c:smooth val="0"/>
          <c:extLst>
            <c:ext xmlns:c16="http://schemas.microsoft.com/office/drawing/2014/chart" uri="{C3380CC4-5D6E-409C-BE32-E72D297353CC}">
              <c16:uniqueId val="{00000001-524D-4408-B4B2-84D9EBD42D3C}"/>
            </c:ext>
          </c:extLst>
        </c:ser>
        <c:dLbls>
          <c:showLegendKey val="0"/>
          <c:showVal val="0"/>
          <c:showCatName val="0"/>
          <c:showSerName val="0"/>
          <c:showPercent val="0"/>
          <c:showBubbleSize val="0"/>
        </c:dLbls>
        <c:axId val="809993744"/>
        <c:axId val="1653186144"/>
      </c:scatterChart>
      <c:valAx>
        <c:axId val="809993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Cumulative Proportion White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53186144"/>
        <c:crosses val="autoZero"/>
        <c:crossBetween val="midCat"/>
      </c:valAx>
      <c:valAx>
        <c:axId val="165318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Cumulative Proportion Nonwhite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0999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627528</xdr:colOff>
      <xdr:row>44</xdr:row>
      <xdr:rowOff>134470</xdr:rowOff>
    </xdr:from>
    <xdr:to>
      <xdr:col>5</xdr:col>
      <xdr:colOff>1135528</xdr:colOff>
      <xdr:row>65</xdr:row>
      <xdr:rowOff>71718</xdr:rowOff>
    </xdr:to>
    <xdr:graphicFrame macro="">
      <xdr:nvGraphicFramePr>
        <xdr:cNvPr id="5" name="Chart 4">
          <a:extLst>
            <a:ext uri="{FF2B5EF4-FFF2-40B4-BE49-F238E27FC236}">
              <a16:creationId xmlns:a16="http://schemas.microsoft.com/office/drawing/2014/main" id="{498DC705-813D-9201-95FE-88642F6C3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0.61657</cdr:x>
      <cdr:y>0.41822</cdr:y>
    </cdr:from>
    <cdr:to>
      <cdr:x>0.61657</cdr:x>
      <cdr:y>0.68355</cdr:y>
    </cdr:to>
    <cdr:cxnSp macro="">
      <cdr:nvCxnSpPr>
        <cdr:cNvPr id="3" name="Straight Connector 2">
          <a:extLst xmlns:a="http://schemas.openxmlformats.org/drawingml/2006/main">
            <a:ext uri="{FF2B5EF4-FFF2-40B4-BE49-F238E27FC236}">
              <a16:creationId xmlns:a16="http://schemas.microsoft.com/office/drawing/2014/main" id="{B048A1FB-7CD6-3E46-2A56-40142C03F9C8}"/>
            </a:ext>
          </a:extLst>
        </cdr:cNvPr>
        <cdr:cNvCxnSpPr/>
      </cdr:nvCxnSpPr>
      <cdr:spPr>
        <a:xfrm xmlns:a="http://schemas.openxmlformats.org/drawingml/2006/main">
          <a:off x="3279589" y="1845235"/>
          <a:ext cx="0" cy="1170684"/>
        </a:xfrm>
        <a:prstGeom xmlns:a="http://schemas.openxmlformats.org/drawingml/2006/main" prst="line">
          <a:avLst/>
        </a:prstGeom>
        <a:ln xmlns:a="http://schemas.openxmlformats.org/drawingml/2006/main" w="285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tabSelected="1" topLeftCell="A24" zoomScale="85" zoomScaleNormal="85" workbookViewId="0">
      <selection activeCell="G61" sqref="G61"/>
    </sheetView>
  </sheetViews>
  <sheetFormatPr defaultRowHeight="14.5" x14ac:dyDescent="0.35"/>
  <cols>
    <col min="1" max="1" width="10.26953125" customWidth="1"/>
    <col min="2" max="2" width="24.1796875" bestFit="1" customWidth="1"/>
    <col min="3" max="3" width="11.81640625" customWidth="1"/>
    <col min="4" max="4" width="13.81640625" customWidth="1"/>
    <col min="6" max="6" width="28.7265625" bestFit="1" customWidth="1"/>
    <col min="7" max="7" width="19.6328125" bestFit="1" customWidth="1"/>
    <col min="8" max="8" width="19.6328125" customWidth="1"/>
    <col min="9" max="9" width="30.26953125" customWidth="1"/>
    <col min="10" max="10" width="26.81640625" customWidth="1"/>
  </cols>
  <sheetData>
    <row r="1" spans="1:8" x14ac:dyDescent="0.35">
      <c r="A1" s="6" t="s">
        <v>0</v>
      </c>
      <c r="F1" s="12" t="s">
        <v>47</v>
      </c>
      <c r="G1" s="12" t="s">
        <v>48</v>
      </c>
      <c r="H1" s="15" t="s">
        <v>46</v>
      </c>
    </row>
    <row r="2" spans="1:8" x14ac:dyDescent="0.35">
      <c r="B2" s="3"/>
      <c r="C2" s="3"/>
      <c r="D2" s="3" t="s">
        <v>4</v>
      </c>
      <c r="F2" s="13" t="s">
        <v>23</v>
      </c>
      <c r="G2" s="13" t="s">
        <v>24</v>
      </c>
      <c r="H2" s="16" t="s">
        <v>25</v>
      </c>
    </row>
    <row r="3" spans="1:8" x14ac:dyDescent="0.35">
      <c r="B3" s="4">
        <v>35065</v>
      </c>
      <c r="C3" s="4">
        <v>38718</v>
      </c>
      <c r="D3" s="3" t="s">
        <v>5</v>
      </c>
      <c r="F3" s="13" t="s">
        <v>20</v>
      </c>
      <c r="G3" s="13" t="s">
        <v>21</v>
      </c>
      <c r="H3" s="16" t="s">
        <v>22</v>
      </c>
    </row>
    <row r="4" spans="1:8" x14ac:dyDescent="0.35">
      <c r="A4" s="3" t="s">
        <v>1</v>
      </c>
      <c r="B4" s="3" t="s">
        <v>2</v>
      </c>
      <c r="C4" s="3" t="s">
        <v>2</v>
      </c>
      <c r="D4" s="3" t="s">
        <v>3</v>
      </c>
      <c r="F4" s="13"/>
      <c r="G4" s="13"/>
      <c r="H4" s="16"/>
    </row>
    <row r="5" spans="1:8" x14ac:dyDescent="0.35">
      <c r="A5">
        <v>0</v>
      </c>
      <c r="B5" s="1">
        <v>95456</v>
      </c>
      <c r="C5" s="1">
        <v>100708</v>
      </c>
      <c r="D5" s="1">
        <v>493685</v>
      </c>
      <c r="F5" s="14"/>
      <c r="G5" s="14"/>
      <c r="H5" s="17">
        <f>G6*D5/D6</f>
        <v>0</v>
      </c>
    </row>
    <row r="6" spans="1:8" x14ac:dyDescent="0.35">
      <c r="A6" s="2">
        <f>+A5+5</f>
        <v>5</v>
      </c>
      <c r="B6" s="1">
        <v>99170</v>
      </c>
      <c r="C6" s="1">
        <v>101050</v>
      </c>
      <c r="D6" s="1">
        <v>492387</v>
      </c>
      <c r="F6" s="14"/>
      <c r="G6" s="14"/>
      <c r="H6" s="17">
        <f>G7*D6/D7</f>
        <v>5881.7163062741356</v>
      </c>
    </row>
    <row r="7" spans="1:8" x14ac:dyDescent="0.35">
      <c r="A7" s="2">
        <f t="shared" ref="A7:A17" si="0">+A6+5</f>
        <v>10</v>
      </c>
      <c r="B7" s="1">
        <v>98415</v>
      </c>
      <c r="C7" s="1">
        <v>100934</v>
      </c>
      <c r="D7" s="1">
        <v>491643</v>
      </c>
      <c r="F7" s="14">
        <f>B5*(D7/D5)</f>
        <v>95061.171005803291</v>
      </c>
      <c r="G7" s="14">
        <f>C7-F7</f>
        <v>5872.8289941967087</v>
      </c>
      <c r="H7" s="17">
        <f>G8*D7/D8</f>
        <v>2984.2989149491214</v>
      </c>
    </row>
    <row r="8" spans="1:8" x14ac:dyDescent="0.35">
      <c r="A8" s="2">
        <f t="shared" si="0"/>
        <v>15</v>
      </c>
      <c r="B8" s="1">
        <v>93957</v>
      </c>
      <c r="C8" s="1">
        <v>101670</v>
      </c>
      <c r="D8" s="1">
        <v>490031</v>
      </c>
      <c r="F8" s="14">
        <f t="shared" ref="F8:F16" si="1">B6*(D8/D6)</f>
        <v>98695.486009988075</v>
      </c>
      <c r="G8" s="14">
        <f t="shared" ref="G8:G15" si="2">C8-F8</f>
        <v>2974.5139900119248</v>
      </c>
      <c r="H8" s="17">
        <f>G9*D8/D9</f>
        <v>8376.9967134906565</v>
      </c>
    </row>
    <row r="9" spans="1:8" x14ac:dyDescent="0.35">
      <c r="A9" s="2">
        <f t="shared" si="0"/>
        <v>20</v>
      </c>
      <c r="B9" s="1">
        <v>84342</v>
      </c>
      <c r="C9" s="1">
        <v>105625</v>
      </c>
      <c r="D9" s="1">
        <v>486145</v>
      </c>
      <c r="F9" s="14">
        <f t="shared" si="1"/>
        <v>97314.433796474274</v>
      </c>
      <c r="G9" s="14">
        <f t="shared" si="2"/>
        <v>8310.5662035257265</v>
      </c>
      <c r="H9" s="17">
        <f>G10*D9/D10</f>
        <v>9596.0370361760633</v>
      </c>
    </row>
    <row r="10" spans="1:8" x14ac:dyDescent="0.35">
      <c r="A10" s="2">
        <f t="shared" si="0"/>
        <v>25</v>
      </c>
      <c r="B10" s="1">
        <v>83598</v>
      </c>
      <c r="C10" s="1">
        <v>102046</v>
      </c>
      <c r="D10" s="1">
        <v>482542</v>
      </c>
      <c r="F10" s="14">
        <f t="shared" si="1"/>
        <v>92521.082735582037</v>
      </c>
      <c r="G10" s="14">
        <f t="shared" si="2"/>
        <v>9524.9172644179635</v>
      </c>
      <c r="H10" s="17">
        <f>G11*D10/D11</f>
        <v>9810.9192096004936</v>
      </c>
    </row>
    <row r="11" spans="1:8" x14ac:dyDescent="0.35">
      <c r="A11" s="2">
        <f t="shared" si="0"/>
        <v>30</v>
      </c>
      <c r="B11" s="1">
        <v>70191</v>
      </c>
      <c r="C11" s="1">
        <v>92920</v>
      </c>
      <c r="D11" s="1">
        <v>479406</v>
      </c>
      <c r="F11" s="14">
        <f t="shared" si="1"/>
        <v>83172.841131761103</v>
      </c>
      <c r="G11" s="14">
        <f t="shared" si="2"/>
        <v>9747.1588682388974</v>
      </c>
      <c r="H11" s="17">
        <f>G12*D11/D12</f>
        <v>8196.1305989844986</v>
      </c>
    </row>
    <row r="12" spans="1:8" x14ac:dyDescent="0.35">
      <c r="A12" s="2">
        <f t="shared" si="0"/>
        <v>35</v>
      </c>
      <c r="B12" s="1">
        <v>59982</v>
      </c>
      <c r="C12" s="1">
        <v>90613</v>
      </c>
      <c r="D12" s="1">
        <v>476055</v>
      </c>
      <c r="F12" s="14">
        <f t="shared" si="1"/>
        <v>82474.159534299601</v>
      </c>
      <c r="G12" s="14">
        <f t="shared" si="2"/>
        <v>8138.8404657003994</v>
      </c>
      <c r="H12" s="17">
        <f>G13*D12/D13</f>
        <v>5000.5029767904143</v>
      </c>
    </row>
    <row r="13" spans="1:8" x14ac:dyDescent="0.35">
      <c r="A13" s="2">
        <f t="shared" si="0"/>
        <v>40</v>
      </c>
      <c r="B13" s="1">
        <v>53313</v>
      </c>
      <c r="C13" s="1">
        <v>73921</v>
      </c>
      <c r="D13" s="1">
        <v>471085</v>
      </c>
      <c r="F13" s="14">
        <f t="shared" si="1"/>
        <v>68972.702125129843</v>
      </c>
      <c r="G13" s="14">
        <f t="shared" si="2"/>
        <v>4948.2978748701571</v>
      </c>
      <c r="H13" s="17">
        <f>G14*D13/D14</f>
        <v>3457.5119378530062</v>
      </c>
    </row>
    <row r="14" spans="1:8" x14ac:dyDescent="0.35">
      <c r="A14" s="2">
        <f t="shared" si="0"/>
        <v>45</v>
      </c>
      <c r="B14" s="1">
        <v>55775</v>
      </c>
      <c r="C14" s="1">
        <v>61697</v>
      </c>
      <c r="D14" s="1">
        <v>462713</v>
      </c>
      <c r="F14" s="14">
        <f t="shared" si="1"/>
        <v>58300.934064341302</v>
      </c>
      <c r="G14" s="14">
        <f t="shared" si="2"/>
        <v>3396.0659356586984</v>
      </c>
      <c r="H14" s="17">
        <f>G15*D14/D15</f>
        <v>3799.1313974529298</v>
      </c>
    </row>
    <row r="15" spans="1:8" x14ac:dyDescent="0.35">
      <c r="A15" s="2">
        <f t="shared" si="0"/>
        <v>50</v>
      </c>
      <c r="B15" s="1">
        <v>54857</v>
      </c>
      <c r="C15" s="1">
        <v>54468</v>
      </c>
      <c r="D15" s="1">
        <v>448735</v>
      </c>
      <c r="F15" s="14">
        <f t="shared" si="1"/>
        <v>50783.635766369131</v>
      </c>
      <c r="G15" s="14">
        <f t="shared" si="2"/>
        <v>3684.3642336308694</v>
      </c>
      <c r="H15" s="17">
        <f>G16*D15/D16</f>
        <v>4188.9440584603763</v>
      </c>
    </row>
    <row r="16" spans="1:8" x14ac:dyDescent="0.35">
      <c r="A16" s="2">
        <f t="shared" si="0"/>
        <v>55</v>
      </c>
      <c r="B16" s="1">
        <v>46881</v>
      </c>
      <c r="C16" s="1">
        <v>55400</v>
      </c>
      <c r="D16" s="1">
        <v>426567</v>
      </c>
      <c r="F16" s="14">
        <f t="shared" si="1"/>
        <v>51417.994361515666</v>
      </c>
      <c r="G16" s="14">
        <f>C16-F16</f>
        <v>3982.0056384843338</v>
      </c>
      <c r="H16" s="17">
        <f>G17*D16/D17</f>
        <v>5560.2736777383407</v>
      </c>
    </row>
    <row r="17" spans="1:13" x14ac:dyDescent="0.35">
      <c r="A17" s="2">
        <f t="shared" si="0"/>
        <v>60</v>
      </c>
      <c r="B17" s="1">
        <v>44223</v>
      </c>
      <c r="C17" s="1">
        <v>53201</v>
      </c>
      <c r="D17" s="1">
        <v>393257</v>
      </c>
      <c r="F17" s="14">
        <f>B15*(D17/D15)</f>
        <v>48074.920050809495</v>
      </c>
      <c r="G17" s="14">
        <f t="shared" ref="G17:G18" si="3">C17-F17</f>
        <v>5126.0799491905054</v>
      </c>
      <c r="H17" s="17">
        <f>G18*(D17+D18)/D18</f>
        <v>14750.593306449298</v>
      </c>
    </row>
    <row r="18" spans="1:13" x14ac:dyDescent="0.35">
      <c r="A18" s="3" t="s">
        <v>18</v>
      </c>
      <c r="B18" s="1">
        <f>128674-B17</f>
        <v>84451</v>
      </c>
      <c r="C18" s="1">
        <v>108284</v>
      </c>
      <c r="D18" s="1">
        <v>1026853</v>
      </c>
      <c r="F18" s="14">
        <f>(B16+B17+B18)*(D18/(D16+D17+D18))</f>
        <v>97618.142433679517</v>
      </c>
      <c r="G18" s="14">
        <f t="shared" si="3"/>
        <v>10665.857566320483</v>
      </c>
      <c r="H18" s="7"/>
    </row>
    <row r="19" spans="1:13" x14ac:dyDescent="0.35">
      <c r="G19" s="18" t="s">
        <v>44</v>
      </c>
      <c r="H19" s="19"/>
      <c r="I19" s="19"/>
    </row>
    <row r="20" spans="1:13" s="8" customFormat="1" ht="101.5" x14ac:dyDescent="0.35">
      <c r="A20" s="8" t="s">
        <v>26</v>
      </c>
      <c r="G20" s="20">
        <f>SUM(G7:G18)</f>
        <v>76371.496984246667</v>
      </c>
      <c r="H20" s="20">
        <f>SUM(H6:H18)</f>
        <v>81603.05613421934</v>
      </c>
      <c r="I20" s="21" t="s">
        <v>27</v>
      </c>
    </row>
    <row r="21" spans="1:13" s="24" customFormat="1" ht="15" thickBot="1" x14ac:dyDescent="0.4"/>
    <row r="22" spans="1:13" ht="15" thickTop="1" x14ac:dyDescent="0.35">
      <c r="A22" s="6" t="s">
        <v>6</v>
      </c>
      <c r="F22" s="23" t="s">
        <v>45</v>
      </c>
    </row>
    <row r="23" spans="1:13" x14ac:dyDescent="0.35">
      <c r="C23" s="10" t="s">
        <v>19</v>
      </c>
      <c r="D23" s="10"/>
      <c r="F23" s="22" t="s">
        <v>29</v>
      </c>
      <c r="G23" s="6" t="s">
        <v>30</v>
      </c>
    </row>
    <row r="24" spans="1:13" x14ac:dyDescent="0.35">
      <c r="B24" s="3" t="s">
        <v>7</v>
      </c>
      <c r="C24" s="3" t="s">
        <v>8</v>
      </c>
      <c r="D24" s="3" t="s">
        <v>9</v>
      </c>
      <c r="F24" t="s">
        <v>28</v>
      </c>
      <c r="G24" s="9" t="s">
        <v>31</v>
      </c>
      <c r="H24" s="9" t="s">
        <v>32</v>
      </c>
      <c r="M24" s="9"/>
    </row>
    <row r="25" spans="1:13" x14ac:dyDescent="0.35">
      <c r="B25" t="s">
        <v>10</v>
      </c>
      <c r="C25">
        <v>199</v>
      </c>
      <c r="D25">
        <v>36</v>
      </c>
      <c r="F25" s="3">
        <f>ABS((D25/1185)-(C25/2838))</f>
        <v>3.9740055842499178E-2</v>
      </c>
      <c r="G25">
        <f>C25/2838</f>
        <v>7.0119802677942211E-2</v>
      </c>
      <c r="H25">
        <f>D25/1185</f>
        <v>3.0379746835443037E-2</v>
      </c>
    </row>
    <row r="26" spans="1:13" x14ac:dyDescent="0.35">
      <c r="B26" t="s">
        <v>11</v>
      </c>
      <c r="C26">
        <v>284</v>
      </c>
      <c r="D26">
        <v>59</v>
      </c>
      <c r="F26" s="3">
        <f t="shared" ref="F26:F31" si="4">ABS((D26/1185)-(C26/2838))</f>
        <v>5.0281442627630443E-2</v>
      </c>
      <c r="G26">
        <f>C26/2838</f>
        <v>0.10007047216349542</v>
      </c>
      <c r="H26">
        <f>D26/1185</f>
        <v>4.9789029535864976E-2</v>
      </c>
    </row>
    <row r="27" spans="1:13" x14ac:dyDescent="0.35">
      <c r="B27" t="s">
        <v>12</v>
      </c>
      <c r="C27">
        <v>397</v>
      </c>
      <c r="D27">
        <v>24</v>
      </c>
      <c r="F27" s="3">
        <f t="shared" si="4"/>
        <v>0.11963407998144532</v>
      </c>
      <c r="G27">
        <f>C27/2838</f>
        <v>0.13988724453840734</v>
      </c>
      <c r="H27">
        <f>D27/1185</f>
        <v>2.0253164556962026E-2</v>
      </c>
    </row>
    <row r="28" spans="1:13" x14ac:dyDescent="0.35">
      <c r="B28" t="s">
        <v>13</v>
      </c>
      <c r="C28">
        <v>227</v>
      </c>
      <c r="D28">
        <v>12</v>
      </c>
      <c r="F28" s="3">
        <f t="shared" si="4"/>
        <v>6.98593232888199E-2</v>
      </c>
      <c r="G28">
        <f>C28/2838</f>
        <v>7.9985905567300911E-2</v>
      </c>
      <c r="H28">
        <f>D28/1185</f>
        <v>1.0126582278481013E-2</v>
      </c>
    </row>
    <row r="29" spans="1:13" x14ac:dyDescent="0.35">
      <c r="B29" t="s">
        <v>14</v>
      </c>
      <c r="C29">
        <v>823</v>
      </c>
      <c r="D29">
        <v>841</v>
      </c>
      <c r="F29" s="3">
        <f t="shared" si="4"/>
        <v>0.41971168856656049</v>
      </c>
      <c r="G29">
        <f>C29/2838</f>
        <v>0.28999295278365045</v>
      </c>
      <c r="H29">
        <f>D29/1185</f>
        <v>0.70970464135021094</v>
      </c>
    </row>
    <row r="30" spans="1:13" x14ac:dyDescent="0.35">
      <c r="B30" t="s">
        <v>15</v>
      </c>
      <c r="C30">
        <v>426</v>
      </c>
      <c r="D30">
        <v>166</v>
      </c>
      <c r="F30" s="3">
        <f t="shared" si="4"/>
        <v>1.0021320059589139E-2</v>
      </c>
      <c r="G30">
        <f>C30/2838</f>
        <v>0.15010570824524314</v>
      </c>
      <c r="H30">
        <f>D30/1185</f>
        <v>0.140084388185654</v>
      </c>
    </row>
    <row r="31" spans="1:13" x14ac:dyDescent="0.35">
      <c r="B31" t="s">
        <v>16</v>
      </c>
      <c r="C31">
        <v>482</v>
      </c>
      <c r="D31">
        <v>47</v>
      </c>
      <c r="F31" s="3">
        <f t="shared" si="4"/>
        <v>0.13017546676657657</v>
      </c>
      <c r="G31">
        <f>C31/2838</f>
        <v>0.16983791402396053</v>
      </c>
      <c r="H31">
        <f>D31/1185</f>
        <v>3.9662447257383965E-2</v>
      </c>
    </row>
    <row r="32" spans="1:13" x14ac:dyDescent="0.35">
      <c r="B32" t="s">
        <v>17</v>
      </c>
      <c r="C32">
        <f>+SUM(C25:C31)</f>
        <v>2838</v>
      </c>
      <c r="D32">
        <f>+SUM(D25:D31)</f>
        <v>1185</v>
      </c>
      <c r="F32" s="22">
        <f>SUM(F25:F31)/2</f>
        <v>0.41971168856656049</v>
      </c>
    </row>
    <row r="33" spans="1:11" ht="89.5" customHeight="1" x14ac:dyDescent="0.35">
      <c r="F33" s="25" t="s">
        <v>49</v>
      </c>
    </row>
    <row r="34" spans="1:11" s="11" customFormat="1" x14ac:dyDescent="0.35">
      <c r="A34" s="11" t="s">
        <v>54</v>
      </c>
      <c r="C34" s="11" t="s">
        <v>37</v>
      </c>
      <c r="E34" s="11" t="s">
        <v>38</v>
      </c>
    </row>
    <row r="35" spans="1:11" x14ac:dyDescent="0.35">
      <c r="A35" t="s">
        <v>31</v>
      </c>
      <c r="B35" t="s">
        <v>32</v>
      </c>
      <c r="C35" s="9" t="s">
        <v>33</v>
      </c>
      <c r="D35" s="9" t="s">
        <v>34</v>
      </c>
      <c r="E35" s="9" t="s">
        <v>35</v>
      </c>
      <c r="F35" s="9" t="s">
        <v>36</v>
      </c>
    </row>
    <row r="36" spans="1:11" x14ac:dyDescent="0.35">
      <c r="A36">
        <v>7.9985905567300911E-2</v>
      </c>
      <c r="B36">
        <v>1.0126582278481013E-2</v>
      </c>
      <c r="C36">
        <v>0</v>
      </c>
      <c r="D36">
        <v>0</v>
      </c>
      <c r="E36" s="5">
        <v>0</v>
      </c>
      <c r="F36" s="5">
        <v>0</v>
      </c>
    </row>
    <row r="37" spans="1:11" x14ac:dyDescent="0.35">
      <c r="A37">
        <v>0.13988724453840734</v>
      </c>
      <c r="B37">
        <v>2.0253164556962026E-2</v>
      </c>
      <c r="C37">
        <f>A36</f>
        <v>7.9985905567300911E-2</v>
      </c>
      <c r="D37">
        <f>B36</f>
        <v>1.0126582278481013E-2</v>
      </c>
      <c r="E37" s="5">
        <v>0.14285714285714285</v>
      </c>
      <c r="F37" s="5">
        <v>0.14285714285714285</v>
      </c>
    </row>
    <row r="38" spans="1:11" x14ac:dyDescent="0.35">
      <c r="A38">
        <v>7.0119802677942211E-2</v>
      </c>
      <c r="B38">
        <v>3.0379746835443037E-2</v>
      </c>
      <c r="C38">
        <f>C37+A37</f>
        <v>0.21987315010570824</v>
      </c>
      <c r="D38">
        <f>D37+B37</f>
        <v>3.037974683544304E-2</v>
      </c>
      <c r="E38" s="5">
        <v>0.2857142857142857</v>
      </c>
      <c r="F38" s="5">
        <v>0.2857142857142857</v>
      </c>
    </row>
    <row r="39" spans="1:11" x14ac:dyDescent="0.35">
      <c r="A39">
        <v>0.16983791402396053</v>
      </c>
      <c r="B39">
        <v>3.9662447257383965E-2</v>
      </c>
      <c r="C39">
        <f t="shared" ref="C39:C43" si="5">C38+A38</f>
        <v>0.28999295278365045</v>
      </c>
      <c r="D39">
        <f t="shared" ref="D39:D43" si="6">D38+B38</f>
        <v>6.0759493670886081E-2</v>
      </c>
      <c r="E39" s="5">
        <v>0.42857142857142855</v>
      </c>
      <c r="F39" s="5">
        <v>0.42857142857142855</v>
      </c>
      <c r="H39" s="28" t="s">
        <v>44</v>
      </c>
    </row>
    <row r="40" spans="1:11" x14ac:dyDescent="0.35">
      <c r="A40">
        <v>0.10007047216349542</v>
      </c>
      <c r="B40">
        <v>4.9789029535864976E-2</v>
      </c>
      <c r="C40">
        <f t="shared" si="5"/>
        <v>0.45983086680761098</v>
      </c>
      <c r="D40">
        <f t="shared" si="6"/>
        <v>0.10042194092827005</v>
      </c>
      <c r="E40" s="5">
        <v>0.5714285714285714</v>
      </c>
      <c r="F40" s="5">
        <v>0.5714285714285714</v>
      </c>
      <c r="H40" s="28" t="s">
        <v>50</v>
      </c>
    </row>
    <row r="41" spans="1:11" x14ac:dyDescent="0.35">
      <c r="A41">
        <v>0.15010570824524314</v>
      </c>
      <c r="B41">
        <v>0.140084388185654</v>
      </c>
      <c r="C41">
        <f t="shared" si="5"/>
        <v>0.55990133897110639</v>
      </c>
      <c r="D41">
        <f t="shared" si="6"/>
        <v>0.15021097046413501</v>
      </c>
      <c r="E41" s="5">
        <v>0.7142857142857143</v>
      </c>
      <c r="F41" s="5">
        <v>0.7142857142857143</v>
      </c>
      <c r="G41" s="5"/>
      <c r="H41" t="s">
        <v>43</v>
      </c>
    </row>
    <row r="42" spans="1:11" x14ac:dyDescent="0.35">
      <c r="A42">
        <v>0.28999295278365045</v>
      </c>
      <c r="B42">
        <v>0.70970464135021094</v>
      </c>
      <c r="C42">
        <f t="shared" si="5"/>
        <v>0.71000704721634955</v>
      </c>
      <c r="D42">
        <f t="shared" si="6"/>
        <v>0.290295358649789</v>
      </c>
      <c r="E42" s="5">
        <v>0.8571428571428571</v>
      </c>
      <c r="F42" s="5">
        <v>0.8571428571428571</v>
      </c>
      <c r="H42" s="5">
        <f>E41-D42</f>
        <v>0.4239903556359253</v>
      </c>
    </row>
    <row r="43" spans="1:11" x14ac:dyDescent="0.35">
      <c r="C43">
        <f t="shared" si="5"/>
        <v>1</v>
      </c>
      <c r="D43">
        <f t="shared" si="6"/>
        <v>1</v>
      </c>
      <c r="E43">
        <v>1</v>
      </c>
      <c r="F43">
        <v>1</v>
      </c>
    </row>
    <row r="46" spans="1:11" x14ac:dyDescent="0.35">
      <c r="G46" t="s">
        <v>33</v>
      </c>
      <c r="H46" t="s">
        <v>34</v>
      </c>
      <c r="I46" t="s">
        <v>41</v>
      </c>
      <c r="J46" t="s">
        <v>39</v>
      </c>
      <c r="K46" t="s">
        <v>40</v>
      </c>
    </row>
    <row r="47" spans="1:11" x14ac:dyDescent="0.35">
      <c r="G47">
        <v>0</v>
      </c>
      <c r="H47">
        <v>0</v>
      </c>
      <c r="I47">
        <f>G48-G47</f>
        <v>7.9985905567300911E-2</v>
      </c>
      <c r="J47">
        <f>(H47+H48)/2</f>
        <v>5.0632911392405064E-3</v>
      </c>
      <c r="K47">
        <f>I47*J47</f>
        <v>4.0499192692304261E-4</v>
      </c>
    </row>
    <row r="48" spans="1:11" x14ac:dyDescent="0.35">
      <c r="G48">
        <v>7.9985905567300911E-2</v>
      </c>
      <c r="H48">
        <v>1.0126582278481013E-2</v>
      </c>
      <c r="I48">
        <f t="shared" ref="I48:I53" si="7">G49-G48</f>
        <v>0.13988724453840734</v>
      </c>
      <c r="J48">
        <f t="shared" ref="J48:J53" si="8">(H48+H49)/2</f>
        <v>2.0253164556962026E-2</v>
      </c>
      <c r="K48">
        <f t="shared" ref="K48:K52" si="9">I48*J48</f>
        <v>2.8331593830563514E-3</v>
      </c>
    </row>
    <row r="49" spans="7:11" x14ac:dyDescent="0.35">
      <c r="G49">
        <v>0.21987315010570824</v>
      </c>
      <c r="H49">
        <v>3.037974683544304E-2</v>
      </c>
      <c r="I49">
        <f t="shared" si="7"/>
        <v>7.0119802677942211E-2</v>
      </c>
      <c r="J49">
        <f t="shared" si="8"/>
        <v>4.5569620253164564E-2</v>
      </c>
      <c r="K49">
        <f t="shared" si="9"/>
        <v>3.1953327802606581E-3</v>
      </c>
    </row>
    <row r="50" spans="7:11" x14ac:dyDescent="0.35">
      <c r="G50">
        <v>0.28999295278365045</v>
      </c>
      <c r="H50">
        <v>6.0759493670886081E-2</v>
      </c>
      <c r="I50">
        <f t="shared" si="7"/>
        <v>0.16983791402396053</v>
      </c>
      <c r="J50">
        <f t="shared" si="8"/>
        <v>8.0590717299578063E-2</v>
      </c>
      <c r="K50">
        <f t="shared" si="9"/>
        <v>1.3687359315855048E-2</v>
      </c>
    </row>
    <row r="51" spans="7:11" x14ac:dyDescent="0.35">
      <c r="G51">
        <v>0.45983086680761098</v>
      </c>
      <c r="H51">
        <v>0.10042194092827005</v>
      </c>
      <c r="I51">
        <f t="shared" si="7"/>
        <v>0.10007047216349541</v>
      </c>
      <c r="J51">
        <f t="shared" si="8"/>
        <v>0.12531645569620253</v>
      </c>
      <c r="K51">
        <f t="shared" si="9"/>
        <v>1.2540476891374741E-2</v>
      </c>
    </row>
    <row r="52" spans="7:11" x14ac:dyDescent="0.35">
      <c r="G52">
        <v>0.55990133897110639</v>
      </c>
      <c r="H52">
        <v>0.15021097046413501</v>
      </c>
      <c r="I52">
        <f t="shared" si="7"/>
        <v>0.15010570824524316</v>
      </c>
      <c r="J52">
        <f t="shared" si="8"/>
        <v>0.22025316455696201</v>
      </c>
      <c r="K52">
        <f t="shared" si="9"/>
        <v>3.3061257259078873E-2</v>
      </c>
    </row>
    <row r="53" spans="7:11" x14ac:dyDescent="0.35">
      <c r="G53">
        <v>0.71000704721634955</v>
      </c>
      <c r="H53">
        <v>0.290295358649789</v>
      </c>
      <c r="I53">
        <f t="shared" si="7"/>
        <v>0.28999295278365045</v>
      </c>
      <c r="J53">
        <f t="shared" si="8"/>
        <v>0.64514767932489447</v>
      </c>
      <c r="K53">
        <f>I53*J53</f>
        <v>0.18708828050894577</v>
      </c>
    </row>
    <row r="54" spans="7:11" x14ac:dyDescent="0.35">
      <c r="G54">
        <v>1</v>
      </c>
      <c r="H54">
        <v>1</v>
      </c>
      <c r="K54">
        <f>SUM(K47:K53)</f>
        <v>0.25281085806549447</v>
      </c>
    </row>
    <row r="55" spans="7:11" x14ac:dyDescent="0.35">
      <c r="H55" s="27" t="s">
        <v>46</v>
      </c>
    </row>
    <row r="56" spans="7:11" x14ac:dyDescent="0.35">
      <c r="G56" t="s">
        <v>10</v>
      </c>
      <c r="H56" s="27" t="s">
        <v>42</v>
      </c>
    </row>
    <row r="57" spans="7:11" x14ac:dyDescent="0.35">
      <c r="G57">
        <f>0.5-K54</f>
        <v>0.24718914193450553</v>
      </c>
      <c r="H57" s="27">
        <f>G57/0.5</f>
        <v>0.49437828386901106</v>
      </c>
    </row>
    <row r="58" spans="7:11" ht="58" x14ac:dyDescent="0.35">
      <c r="H58" s="29" t="s">
        <v>51</v>
      </c>
    </row>
    <row r="60" spans="7:11" x14ac:dyDescent="0.35">
      <c r="G60" s="27" t="s">
        <v>55</v>
      </c>
      <c r="H60" s="26"/>
      <c r="I60" s="26"/>
      <c r="J60" s="26"/>
    </row>
    <row r="61" spans="7:11" x14ac:dyDescent="0.35">
      <c r="G61" s="26" t="s">
        <v>33</v>
      </c>
      <c r="H61" s="26" t="s">
        <v>34</v>
      </c>
      <c r="I61" s="26" t="s">
        <v>52</v>
      </c>
      <c r="J61" s="26" t="s">
        <v>53</v>
      </c>
    </row>
    <row r="62" spans="7:11" x14ac:dyDescent="0.35">
      <c r="G62" s="26">
        <v>0</v>
      </c>
      <c r="H62" s="26">
        <v>0</v>
      </c>
      <c r="I62" s="26">
        <f>G62*H63</f>
        <v>0</v>
      </c>
      <c r="J62" s="26">
        <f>H62*G63</f>
        <v>0</v>
      </c>
    </row>
    <row r="63" spans="7:11" x14ac:dyDescent="0.35">
      <c r="G63" s="26">
        <v>7.9985905567300911E-2</v>
      </c>
      <c r="H63" s="26">
        <v>1.0126582278481013E-2</v>
      </c>
      <c r="I63" s="26">
        <f t="shared" ref="I63:I69" si="10">G63*H64</f>
        <v>2.4299515615382556E-3</v>
      </c>
      <c r="J63" s="26">
        <f t="shared" ref="J63:J68" si="11">H63*G64</f>
        <v>2.2265635453742605E-3</v>
      </c>
    </row>
    <row r="64" spans="7:11" x14ac:dyDescent="0.35">
      <c r="G64" s="26">
        <v>0.21987315010570824</v>
      </c>
      <c r="H64" s="26">
        <v>3.037974683544304E-2</v>
      </c>
      <c r="I64" s="26">
        <f t="shared" si="10"/>
        <v>1.3359381272245565E-2</v>
      </c>
      <c r="J64" s="26">
        <f t="shared" si="11"/>
        <v>8.8099124896298883E-3</v>
      </c>
    </row>
    <row r="65" spans="7:10" x14ac:dyDescent="0.35">
      <c r="G65" s="26">
        <v>0.28999295278365045</v>
      </c>
      <c r="H65" s="26">
        <v>6.0759493670886081E-2</v>
      </c>
      <c r="I65" s="26">
        <f t="shared" si="10"/>
        <v>2.9121655174054351E-2</v>
      </c>
      <c r="J65" s="26">
        <f t="shared" si="11"/>
        <v>2.7939090641475098E-2</v>
      </c>
    </row>
    <row r="66" spans="7:10" x14ac:dyDescent="0.35">
      <c r="G66" s="26">
        <v>0.45983086680761098</v>
      </c>
      <c r="H66" s="26">
        <v>0.10042194092827005</v>
      </c>
      <c r="I66" s="26">
        <f t="shared" si="10"/>
        <v>6.9071640752535648E-2</v>
      </c>
      <c r="J66" s="26">
        <f t="shared" si="11"/>
        <v>5.6226379187815749E-2</v>
      </c>
    </row>
    <row r="67" spans="7:10" x14ac:dyDescent="0.35">
      <c r="G67" s="26">
        <v>0.55990133897110639</v>
      </c>
      <c r="H67" s="26">
        <v>0.15021097046413501</v>
      </c>
      <c r="I67" s="26">
        <f t="shared" si="10"/>
        <v>0.16253676000511441</v>
      </c>
      <c r="J67" s="26">
        <f t="shared" si="11"/>
        <v>0.1066508475987428</v>
      </c>
    </row>
    <row r="68" spans="7:10" x14ac:dyDescent="0.35">
      <c r="G68" s="26">
        <v>0.71000704721634955</v>
      </c>
      <c r="H68" s="26">
        <v>0.290295358649789</v>
      </c>
      <c r="I68" s="26">
        <f t="shared" si="10"/>
        <v>0.71000704721634955</v>
      </c>
      <c r="J68" s="26">
        <f t="shared" si="11"/>
        <v>0.290295358649789</v>
      </c>
    </row>
    <row r="69" spans="7:10" x14ac:dyDescent="0.35">
      <c r="G69" s="26">
        <v>1</v>
      </c>
      <c r="H69" s="26">
        <v>1</v>
      </c>
      <c r="I69" s="26">
        <f t="shared" si="10"/>
        <v>0</v>
      </c>
      <c r="J69" s="26">
        <f>H69*G70</f>
        <v>0</v>
      </c>
    </row>
    <row r="70" spans="7:10" x14ac:dyDescent="0.35">
      <c r="G70" s="26"/>
      <c r="H70" s="26"/>
      <c r="I70" s="26">
        <f>SUM(I62:I69)</f>
        <v>0.98652643598183776</v>
      </c>
      <c r="J70" s="26">
        <f>SUM(J62:J69)</f>
        <v>0.49214815211282681</v>
      </c>
    </row>
    <row r="71" spans="7:10" x14ac:dyDescent="0.35">
      <c r="G71" s="26"/>
      <c r="H71" s="26"/>
      <c r="I71" s="27">
        <f>I70-J70</f>
        <v>0.49437828386901095</v>
      </c>
      <c r="J71" s="26"/>
    </row>
  </sheetData>
  <sortState xmlns:xlrd2="http://schemas.microsoft.com/office/spreadsheetml/2017/richdata2" ref="A36:B42">
    <sortCondition ref="B36:B42"/>
  </sortState>
  <mergeCells count="1">
    <mergeCell ref="C23:D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2023-12-04T19:45:57Z</dcterms:modified>
</cp:coreProperties>
</file>