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320" windowHeight="9780"/>
  </bookViews>
  <sheets>
    <sheet name="report-tpp-id03769" sheetId="2" r:id="rId1"/>
  </sheets>
  <calcPr calcId="124519"/>
</workbook>
</file>

<file path=xl/calcChain.xml><?xml version="1.0" encoding="utf-8"?>
<calcChain xmlns="http://schemas.openxmlformats.org/spreadsheetml/2006/main">
  <c r="W40" i="2"/>
  <c r="W37"/>
  <c r="W36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U51"/>
  <c r="W51" s="1"/>
  <c r="U53"/>
  <c r="U43"/>
  <c r="U49"/>
  <c r="U47"/>
  <c r="U46"/>
  <c r="U42"/>
  <c r="W42" s="1"/>
  <c r="U45"/>
  <c r="W45" s="1"/>
  <c r="U44"/>
  <c r="U38"/>
  <c r="U39"/>
  <c r="U37"/>
  <c r="U40"/>
  <c r="U35"/>
  <c r="U34"/>
  <c r="W34" s="1"/>
  <c r="W53"/>
  <c r="U52"/>
  <c r="U50"/>
  <c r="W50" s="1"/>
  <c r="U48"/>
  <c r="W48" s="1"/>
  <c r="W44"/>
  <c r="U41"/>
  <c r="W41" s="1"/>
  <c r="W38"/>
  <c r="U36"/>
  <c r="U33"/>
  <c r="W33" s="1"/>
  <c r="U32"/>
  <c r="W32" s="1"/>
  <c r="U31"/>
  <c r="U30"/>
  <c r="W30" s="1"/>
  <c r="U29"/>
  <c r="W29" s="1"/>
  <c r="U28"/>
  <c r="W28" s="1"/>
  <c r="U27"/>
  <c r="U26"/>
  <c r="W26" s="1"/>
  <c r="U25"/>
  <c r="W25" s="1"/>
  <c r="U24"/>
  <c r="W24" s="1"/>
  <c r="U23"/>
  <c r="U22"/>
  <c r="W22" s="1"/>
  <c r="U21"/>
  <c r="U20"/>
  <c r="W20" s="1"/>
  <c r="U19"/>
  <c r="W19" s="1"/>
  <c r="U18"/>
  <c r="W18" s="1"/>
  <c r="U17"/>
  <c r="U16"/>
  <c r="W16" s="1"/>
  <c r="U15"/>
  <c r="W15" s="1"/>
  <c r="W46" l="1"/>
  <c r="W17"/>
  <c r="W21"/>
  <c r="W23"/>
  <c r="W27"/>
  <c r="W31"/>
  <c r="W35"/>
  <c r="W39"/>
  <c r="W43"/>
  <c r="W47"/>
  <c r="W49"/>
  <c r="V15"/>
  <c r="W52"/>
  <c r="U54"/>
  <c r="W54" l="1"/>
</calcChain>
</file>

<file path=xl/sharedStrings.xml><?xml version="1.0" encoding="utf-8"?>
<sst xmlns="http://schemas.openxmlformats.org/spreadsheetml/2006/main" count="482" uniqueCount="269">
  <si>
    <t>ID TPP</t>
  </si>
  <si>
    <t>: 03769</t>
  </si>
  <si>
    <t>Bulan</t>
  </si>
  <si>
    <t>: MEI 2022</t>
  </si>
  <si>
    <t>Rekening</t>
  </si>
  <si>
    <t>: 5.1.01.02.01.0001 - Tambahan Penghasilan berdasarkan Beban Kerja PNS</t>
  </si>
  <si>
    <t>Komponen</t>
  </si>
  <si>
    <t>: Tambahan Penghasilan Pegawai Berdasarkan Beban Kerja</t>
  </si>
  <si>
    <t>Uraian</t>
  </si>
  <si>
    <t>: Pembayaran tambahan penghasilan berdasarkan Beban Kerja PNS untuk bln Mei 2022 bagi 39 pegawai BKPSDM Kota Surabaya</t>
  </si>
  <si>
    <t>No</t>
  </si>
  <si>
    <t>NIP</t>
  </si>
  <si>
    <t>Nama</t>
  </si>
  <si>
    <t>GOL</t>
  </si>
  <si>
    <t>NPWP</t>
  </si>
  <si>
    <t>Nama Bank</t>
  </si>
  <si>
    <t>No. Rekening</t>
  </si>
  <si>
    <t>Jabatan</t>
  </si>
  <si>
    <t>Skor Presentasi Kehadiran</t>
  </si>
  <si>
    <t>Basic TPP</t>
  </si>
  <si>
    <t>Kelas Jabatan</t>
  </si>
  <si>
    <t>Plt</t>
  </si>
  <si>
    <t>Harga Satuan</t>
  </si>
  <si>
    <t>Harga TPP</t>
  </si>
  <si>
    <t>% BK</t>
  </si>
  <si>
    <t>Status ASN</t>
  </si>
  <si>
    <t>Diterima (Rp)</t>
  </si>
  <si>
    <t>PPh.21 (15%/5%)</t>
  </si>
  <si>
    <t>Jumlah di Bayar (RP)</t>
  </si>
  <si>
    <t>Keterangan</t>
  </si>
  <si>
    <t>15= (13x14)/10</t>
  </si>
  <si>
    <t>17= (15x13x12x16)</t>
  </si>
  <si>
    <t>19= (17-18)</t>
  </si>
  <si>
    <t>196903231996021001</t>
  </si>
  <si>
    <t>RACHMAD BASARI SE,MM</t>
  </si>
  <si>
    <t>4B</t>
  </si>
  <si>
    <t> 07.873.889.5-609.000</t>
  </si>
  <si>
    <t>Bank Jatim</t>
  </si>
  <si>
    <t> 0017136259</t>
  </si>
  <si>
    <t>Kepala Badan Kepegawaian dan Pengembangan Sumber Daya Manusia</t>
  </si>
  <si>
    <t>100.00 </t>
  </si>
  <si>
    <t>22969982.46</t>
  </si>
  <si>
    <t>0.49891200482876</t>
  </si>
  <si>
    <t>..............</t>
  </si>
  <si>
    <t>196905101997022001</t>
  </si>
  <si>
    <t>MAMIK SUPARMI S.PD</t>
  </si>
  <si>
    <t>4A</t>
  </si>
  <si>
    <t> 693479826-617000</t>
  </si>
  <si>
    <t> 0017475959</t>
  </si>
  <si>
    <t>Sekretaris</t>
  </si>
  <si>
    <t>99.50 </t>
  </si>
  <si>
    <t>16484400.96</t>
  </si>
  <si>
    <t>0.51321246192255</t>
  </si>
  <si>
    <t>197207091998031007</t>
  </si>
  <si>
    <t>HENRY RACHMANTO SH</t>
  </si>
  <si>
    <t> 25.020.238.9-607.000</t>
  </si>
  <si>
    <t> 0017706250</t>
  </si>
  <si>
    <t>Kepala Bidang Pengembangan Kompetensi Pegawai</t>
  </si>
  <si>
    <t>12744502.49</t>
  </si>
  <si>
    <t>0.64184537657853</t>
  </si>
  <si>
    <t>196703191992021001</t>
  </si>
  <si>
    <t>DRS MOCH.DJAMIL</t>
  </si>
  <si>
    <t>3D</t>
  </si>
  <si>
    <t> 54.592.344.3-619.000</t>
  </si>
  <si>
    <t> 0017125354</t>
  </si>
  <si>
    <t>Kepala Bidang Pengelolaan Administrasi dan Informasi Kepegawaian</t>
  </si>
  <si>
    <t>198306272009022008</t>
  </si>
  <si>
    <t>ANITA NENCI LIA ST</t>
  </si>
  <si>
    <t> 68.510.044.8-606.000</t>
  </si>
  <si>
    <t> 0017144570</t>
  </si>
  <si>
    <t>Kepala Bidang Pengelolaan Kinerja Pegawai</t>
  </si>
  <si>
    <t>197309042001121002</t>
  </si>
  <si>
    <t>MOCH.SUMAR HARIYANTO ,ST</t>
  </si>
  <si>
    <t> 57.204.391.7-603.000</t>
  </si>
  <si>
    <t> 0012164262</t>
  </si>
  <si>
    <t>Analis Kepegawaian Ahli Muda</t>
  </si>
  <si>
    <t>9643374.56</t>
  </si>
  <si>
    <t>0.59315335771838</t>
  </si>
  <si>
    <t>197411302001122001</t>
  </si>
  <si>
    <t>DWI RATNA M DEWI, S.Si,MM</t>
  </si>
  <si>
    <t> 07.860.084.8-605.000</t>
  </si>
  <si>
    <t> 0017706934</t>
  </si>
  <si>
    <t>98.50 </t>
  </si>
  <si>
    <t>7750759.28</t>
  </si>
  <si>
    <t>0.66832162022712</t>
  </si>
  <si>
    <t>197604042005011012</t>
  </si>
  <si>
    <t>ACHMAD HADI S.KOM</t>
  </si>
  <si>
    <t> 34.255.639.6.619.000</t>
  </si>
  <si>
    <t> 0012039263</t>
  </si>
  <si>
    <t>94.75 </t>
  </si>
  <si>
    <t>197710242005012008</t>
  </si>
  <si>
    <t>KEN WAHYUNI SETYANINGSIH ST</t>
  </si>
  <si>
    <t> 25.398.218.5-619.000</t>
  </si>
  <si>
    <t> 0017124811</t>
  </si>
  <si>
    <t>197806072006042041</t>
  </si>
  <si>
    <t>HISMI HASTA YUNIASIH S.SOS</t>
  </si>
  <si>
    <t> 57.204.421.2-624.000</t>
  </si>
  <si>
    <t> 0017702343</t>
  </si>
  <si>
    <t>198501152009022006</t>
  </si>
  <si>
    <t>CHRISTINA VANIA SABRINA SE</t>
  </si>
  <si>
    <t> 25.790.611.5-604.000</t>
  </si>
  <si>
    <t> 0017707221</t>
  </si>
  <si>
    <t>Kepala Sub Bagian Keuangan</t>
  </si>
  <si>
    <t>99.25 </t>
  </si>
  <si>
    <t>197805212010012001</t>
  </si>
  <si>
    <t>MAHARANEE REZA PAHLEVI ST</t>
  </si>
  <si>
    <t>3C</t>
  </si>
  <si>
    <t> 89.277.816.8-615.000</t>
  </si>
  <si>
    <t> 0017215221</t>
  </si>
  <si>
    <t>198511152015012001</t>
  </si>
  <si>
    <t>RYZA CAHAYA S.IP</t>
  </si>
  <si>
    <t>3B</t>
  </si>
  <si>
    <t> 358121887609000</t>
  </si>
  <si>
    <t> 0017584618</t>
  </si>
  <si>
    <t>84.50 </t>
  </si>
  <si>
    <t>196908231999032001</t>
  </si>
  <si>
    <t>Dra ANIS MASLUCHAH M.SI</t>
  </si>
  <si>
    <t>4E</t>
  </si>
  <si>
    <t> 57.204.389.1-619.000</t>
  </si>
  <si>
    <t> 0017004255</t>
  </si>
  <si>
    <t>Ahli Utama - Widyaiswara</t>
  </si>
  <si>
    <t>98.00 </t>
  </si>
  <si>
    <t>20615803.95</t>
  </si>
  <si>
    <t>0.48215437167077</t>
  </si>
  <si>
    <t>197208311997031004</t>
  </si>
  <si>
    <t>R.MOH. SUHARTO WARDOYO, S.H, M</t>
  </si>
  <si>
    <t>4C</t>
  </si>
  <si>
    <t> 14.070.407.3-643.000</t>
  </si>
  <si>
    <t> 0012098693</t>
  </si>
  <si>
    <t>Analis Rencana Program dan Kegiatan</t>
  </si>
  <si>
    <t>99.00 </t>
  </si>
  <si>
    <t>6833814.47</t>
  </si>
  <si>
    <t>0.52093893031896</t>
  </si>
  <si>
    <t>196901021994031008</t>
  </si>
  <si>
    <t>IR. JOESTAMADJI MSI</t>
  </si>
  <si>
    <t> 241804525615000</t>
  </si>
  <si>
    <t> 0017705938</t>
  </si>
  <si>
    <t>197005141997031005</t>
  </si>
  <si>
    <t>IFRON HADY SUSANTO, S.SOS.MIR</t>
  </si>
  <si>
    <t> 25.168.505.3-619.000</t>
  </si>
  <si>
    <t> 0012097930</t>
  </si>
  <si>
    <t>Ahli Muda - Widyaiswara</t>
  </si>
  <si>
    <t>0.56204391588</t>
  </si>
  <si>
    <t>196510021993022001</t>
  </si>
  <si>
    <t>PATMIATI SE</t>
  </si>
  <si>
    <t> 57.204.410.5-606.000</t>
  </si>
  <si>
    <t> 0012577799</t>
  </si>
  <si>
    <t>Pranata Kearsipan</t>
  </si>
  <si>
    <t>5938505.45</t>
  </si>
  <si>
    <t>0.46476340271777</t>
  </si>
  <si>
    <t>197111171996022001</t>
  </si>
  <si>
    <t>WACHIDAH A.MD</t>
  </si>
  <si>
    <t> 25.639.980.9-606.000</t>
  </si>
  <si>
    <t> 0012560400</t>
  </si>
  <si>
    <t>Pengelola Sistem Informasi Manajemen Kepegawaian</t>
  </si>
  <si>
    <t>197505152010011003</t>
  </si>
  <si>
    <t>BAGUS PRAYOGO S.SOS</t>
  </si>
  <si>
    <t> 35.122.553.7-619.000</t>
  </si>
  <si>
    <t> 0017224247</t>
  </si>
  <si>
    <t>Analis Fasilitasi Peningkatan Kompetensi</t>
  </si>
  <si>
    <t>197010311996022001</t>
  </si>
  <si>
    <t>DWI YANI PRASTANTI S.PD</t>
  </si>
  <si>
    <t> 57.204.417.0-604.000</t>
  </si>
  <si>
    <t> 0012085621</t>
  </si>
  <si>
    <t>196606101989031021</t>
  </si>
  <si>
    <t>SUPARMAN</t>
  </si>
  <si>
    <t> 57.204.398.2-603.000</t>
  </si>
  <si>
    <t> 0012082851</t>
  </si>
  <si>
    <t>Pengadministrasi Kepegawaian</t>
  </si>
  <si>
    <t>4952532.21</t>
  </si>
  <si>
    <t>0.39575714339473</t>
  </si>
  <si>
    <t>197010232001121002</t>
  </si>
  <si>
    <t>ADIM AL BASID SH</t>
  </si>
  <si>
    <t> 57.204.423.8-645.000</t>
  </si>
  <si>
    <t> 0017704940</t>
  </si>
  <si>
    <t>Bendahara</t>
  </si>
  <si>
    <t>197208162001121007</t>
  </si>
  <si>
    <t>LUKMAN HAKIM SE</t>
  </si>
  <si>
    <t> 69.355.248.1-609.000</t>
  </si>
  <si>
    <t> 0012154321</t>
  </si>
  <si>
    <t>197506282001121004</t>
  </si>
  <si>
    <t>MOHAMAD ZAINURI</t>
  </si>
  <si>
    <t> 57.204.396.6-615.000</t>
  </si>
  <si>
    <t> 0012154402</t>
  </si>
  <si>
    <t>197704211998092001</t>
  </si>
  <si>
    <t>ISTATIK</t>
  </si>
  <si>
    <t> 57.204.400.6-604.000</t>
  </si>
  <si>
    <t> 0017702084</t>
  </si>
  <si>
    <t>Pengadministrasi Pendaftaran Sensor</t>
  </si>
  <si>
    <t>99.75 </t>
  </si>
  <si>
    <t>197906102001122002</t>
  </si>
  <si>
    <t>SULISTYA RAHAYU</t>
  </si>
  <si>
    <t> 57.204.385.9-619.000</t>
  </si>
  <si>
    <t> 0017703374</t>
  </si>
  <si>
    <t>96.75 </t>
  </si>
  <si>
    <t>197105292009011001</t>
  </si>
  <si>
    <t>FAHRUR ROZI</t>
  </si>
  <si>
    <t>3A</t>
  </si>
  <si>
    <t> 57.204.355.2-602.000</t>
  </si>
  <si>
    <t> 0012306512</t>
  </si>
  <si>
    <t>198903152014022001</t>
  </si>
  <si>
    <t>NANCY MARTHA DEVIE A.Md</t>
  </si>
  <si>
    <t> 66.365.363.2-618.000</t>
  </si>
  <si>
    <t> 1277004361</t>
  </si>
  <si>
    <t>199004052020121001</t>
  </si>
  <si>
    <t>RIZKIE DENNY PRATAMA ,S.Kom</t>
  </si>
  <si>
    <t> 92.515.322.3-609.000</t>
  </si>
  <si>
    <t> 0017871277</t>
  </si>
  <si>
    <t>199608062020122002</t>
  </si>
  <si>
    <t>RHEZA DWI AYU SUDARMADI ,SH</t>
  </si>
  <si>
    <t> 96.934.611.3-619.000</t>
  </si>
  <si>
    <t> 1702017862</t>
  </si>
  <si>
    <t>Pengelola Disiplin Pegawai</t>
  </si>
  <si>
    <t>197212082009011001</t>
  </si>
  <si>
    <t>SLAMET KANANG</t>
  </si>
  <si>
    <t>2D</t>
  </si>
  <si>
    <t> 69.355.250.7-625.000</t>
  </si>
  <si>
    <t> 0017708236</t>
  </si>
  <si>
    <t>Pengelola Pemanfaatan Barang Milik Daerah</t>
  </si>
  <si>
    <t>197309152009012001</t>
  </si>
  <si>
    <t>SUMARTI</t>
  </si>
  <si>
    <t> 88.736.242.4-609.000</t>
  </si>
  <si>
    <t> 0012950373</t>
  </si>
  <si>
    <t>197605162009011003</t>
  </si>
  <si>
    <t>PRAMUDJI DWI LESMONO</t>
  </si>
  <si>
    <t> 88.736.241.6-618.000</t>
  </si>
  <si>
    <t> 0017121758</t>
  </si>
  <si>
    <t>197910052001122002</t>
  </si>
  <si>
    <t>NUR INSIYA</t>
  </si>
  <si>
    <t> 57.204.387.5-619.000</t>
  </si>
  <si>
    <t> 0017126466</t>
  </si>
  <si>
    <t>197907072010011001</t>
  </si>
  <si>
    <t>RONNY CHOIRUL IMAM</t>
  </si>
  <si>
    <t>2C</t>
  </si>
  <si>
    <t> 89.687.510.1-609.000</t>
  </si>
  <si>
    <t> 0017230514</t>
  </si>
  <si>
    <t>199508182014021001</t>
  </si>
  <si>
    <t>AGUS ARIANTO</t>
  </si>
  <si>
    <t> 66.397.915.1-619.000</t>
  </si>
  <si>
    <t> 0752021333</t>
  </si>
  <si>
    <t>198104012009012001</t>
  </si>
  <si>
    <t>KANTI YULIANTI</t>
  </si>
  <si>
    <t>2B</t>
  </si>
  <si>
    <t> 45.200.479.9-606.000</t>
  </si>
  <si>
    <t> 0017706152</t>
  </si>
  <si>
    <t>95.00 </t>
  </si>
  <si>
    <t>198311112014122001</t>
  </si>
  <si>
    <t>SUCI SETYOWATI</t>
  </si>
  <si>
    <t> 07.881.314.4-611.000</t>
  </si>
  <si>
    <t> 0582077002</t>
  </si>
  <si>
    <t>Jumlah</t>
  </si>
  <si>
    <t>Surabaya, 20 Juni  2022</t>
  </si>
  <si>
    <t>Bendahara Pengeluaran</t>
  </si>
  <si>
    <t>Adim Al Basid, SH</t>
  </si>
  <si>
    <t>Penata Muda Tk. I</t>
  </si>
  <si>
    <t>NIP 197010232001121002</t>
  </si>
  <si>
    <t>Mengetahui,</t>
  </si>
  <si>
    <t>Pengguna Anggaran</t>
  </si>
  <si>
    <t>Pembina Tk. I</t>
  </si>
  <si>
    <t>NIP 196903231996021001</t>
  </si>
  <si>
    <t>DAFTAR PENERIMAAN UANG BEBAN KERJA PNS</t>
  </si>
  <si>
    <t>BADAN KEPEGAWAIAN DAN PENGEMBANGAN SUMBER DAYA MANUSIA</t>
  </si>
  <si>
    <t>BERDASARKAN KEPUTUSAN WALIKOTA SURABAYA NOMOR : 188.45/23/436.1.2/2022  TANGGAL 14 JANUARI 2022 TENTANG  TAMBAHAN PENGHASILAN</t>
  </si>
  <si>
    <t>BAGI PEGAWAI APARATUR SIPIL NEGARA DI LINGKUNGAN PEMERINTAH KOTA SURABAYA</t>
  </si>
  <si>
    <t xml:space="preserve">KODE REKENING : 5.1.01.02.01.0001 </t>
  </si>
  <si>
    <t>BULAN : MEI 2022</t>
  </si>
  <si>
    <t>Gaji dan Tunjangan</t>
  </si>
  <si>
    <t>BPJS 1%</t>
  </si>
  <si>
    <t>BPJS 4%</t>
  </si>
</sst>
</file>

<file path=xl/styles.xml><?xml version="1.0" encoding="utf-8"?>
<styleSheet xmlns="http://schemas.openxmlformats.org/spreadsheetml/2006/main">
  <numFmts count="3">
    <numFmt numFmtId="164" formatCode="_(&quot;Rp&quot;* #,##0_);_(&quot;Rp&quot;* \(#,##0\);_(&quot;Rp&quot;* &quot;-&quot;_);_(@_)"/>
    <numFmt numFmtId="165" formatCode="_(* #,##0_);_(* \(#,##0\);_(* &quot;-&quot;_);_(@_)"/>
    <numFmt numFmtId="166" formatCode="_([$Rp-421]* #,##0_);_([$Rp-421]* \(#,##0\);_([$Rp-421]* &quot;-&quot;_);_(@_)"/>
  </numFmts>
  <fonts count="2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7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u/>
      <sz val="12"/>
      <color theme="1"/>
      <name val="Arial"/>
      <family val="2"/>
    </font>
    <font>
      <b/>
      <sz val="16"/>
      <color rgb="FF00000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18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1" fillId="0" borderId="0" xfId="0" applyFont="1"/>
    <xf numFmtId="0" fontId="24" fillId="33" borderId="0" xfId="0" applyFont="1" applyFill="1" applyBorder="1" applyAlignment="1">
      <alignment horizontal="center" vertical="center" wrapText="1"/>
    </xf>
    <xf numFmtId="0" fontId="21" fillId="33" borderId="0" xfId="0" applyFont="1" applyFill="1" applyAlignment="1">
      <alignment vertical="top" wrapText="1"/>
    </xf>
    <xf numFmtId="0" fontId="26" fillId="33" borderId="10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49" fontId="21" fillId="33" borderId="10" xfId="0" applyNumberFormat="1" applyFont="1" applyFill="1" applyBorder="1" applyAlignment="1">
      <alignment horizontal="center" vertical="center" wrapText="1"/>
    </xf>
    <xf numFmtId="9" fontId="21" fillId="33" borderId="10" xfId="0" applyNumberFormat="1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left" vertical="center" wrapText="1"/>
    </xf>
    <xf numFmtId="164" fontId="27" fillId="33" borderId="10" xfId="0" applyNumberFormat="1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21" fillId="0" borderId="16" xfId="0" applyFont="1" applyFill="1" applyBorder="1" applyAlignment="1">
      <alignment horizontal="center" vertical="center"/>
    </xf>
    <xf numFmtId="166" fontId="21" fillId="0" borderId="10" xfId="1" applyNumberFormat="1" applyFont="1" applyFill="1" applyBorder="1" applyAlignment="1">
      <alignment horizontal="center" vertical="center" wrapText="1"/>
    </xf>
    <xf numFmtId="166" fontId="27" fillId="0" borderId="17" xfId="0" applyNumberFormat="1" applyFont="1" applyBorder="1" applyAlignment="1">
      <alignment horizontal="center" vertical="center"/>
    </xf>
    <xf numFmtId="166" fontId="27" fillId="0" borderId="18" xfId="0" applyNumberFormat="1" applyFont="1" applyFill="1" applyBorder="1" applyAlignment="1">
      <alignment horizontal="center" vertical="center"/>
    </xf>
    <xf numFmtId="166" fontId="27" fillId="0" borderId="19" xfId="0" applyNumberFormat="1" applyFont="1" applyBorder="1" applyAlignment="1">
      <alignment horizontal="center" vertical="center"/>
    </xf>
    <xf numFmtId="0" fontId="19" fillId="33" borderId="0" xfId="0" applyFont="1" applyFill="1" applyBorder="1" applyAlignment="1">
      <alignment vertical="top" wrapText="1"/>
    </xf>
    <xf numFmtId="166" fontId="18" fillId="0" borderId="0" xfId="0" applyNumberFormat="1" applyFont="1"/>
    <xf numFmtId="0" fontId="18" fillId="34" borderId="0" xfId="0" applyFont="1" applyFill="1"/>
    <xf numFmtId="0" fontId="21" fillId="0" borderId="10" xfId="0" applyFont="1" applyFill="1" applyBorder="1" applyAlignment="1">
      <alignment horizontal="center" vertical="center" wrapText="1"/>
    </xf>
    <xf numFmtId="49" fontId="21" fillId="0" borderId="10" xfId="0" applyNumberFormat="1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left" vertical="center" wrapText="1"/>
    </xf>
    <xf numFmtId="9" fontId="21" fillId="0" borderId="10" xfId="0" applyNumberFormat="1" applyFont="1" applyFill="1" applyBorder="1" applyAlignment="1">
      <alignment horizontal="center" vertical="center" wrapText="1"/>
    </xf>
    <xf numFmtId="0" fontId="18" fillId="0" borderId="0" xfId="0" applyFont="1" applyFill="1"/>
    <xf numFmtId="0" fontId="25" fillId="0" borderId="0" xfId="0" applyFont="1" applyAlignment="1">
      <alignment horizontal="center" vertical="center"/>
    </xf>
    <xf numFmtId="0" fontId="27" fillId="33" borderId="11" xfId="0" applyFont="1" applyFill="1" applyBorder="1" applyAlignment="1">
      <alignment horizontal="center" vertical="center" wrapText="1"/>
    </xf>
    <xf numFmtId="0" fontId="27" fillId="33" borderId="12" xfId="0" applyFont="1" applyFill="1" applyBorder="1" applyAlignment="1">
      <alignment horizontal="center" vertical="center" wrapText="1"/>
    </xf>
    <xf numFmtId="0" fontId="27" fillId="33" borderId="13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vertical="top" wrapText="1"/>
    </xf>
    <xf numFmtId="0" fontId="20" fillId="33" borderId="0" xfId="0" applyFont="1" applyFill="1" applyAlignment="1">
      <alignment horizontal="center" vertical="center" wrapText="1"/>
    </xf>
    <xf numFmtId="0" fontId="26" fillId="33" borderId="0" xfId="0" applyFont="1" applyFill="1" applyAlignment="1">
      <alignment vertical="top" wrapText="1"/>
    </xf>
    <xf numFmtId="0" fontId="26" fillId="33" borderId="15" xfId="0" applyFont="1" applyFill="1" applyBorder="1" applyAlignment="1">
      <alignment vertical="top" wrapText="1"/>
    </xf>
    <xf numFmtId="0" fontId="21" fillId="33" borderId="10" xfId="0" applyNumberFormat="1" applyFont="1" applyFill="1" applyBorder="1" applyAlignment="1">
      <alignment horizontal="center" vertical="center" wrapText="1"/>
    </xf>
    <xf numFmtId="0" fontId="21" fillId="0" borderId="10" xfId="0" applyNumberFormat="1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66"/>
  <sheetViews>
    <sheetView showGridLines="0" tabSelected="1" topLeftCell="I1" workbookViewId="0">
      <selection activeCell="Q15" sqref="Q15:S53"/>
    </sheetView>
  </sheetViews>
  <sheetFormatPr defaultRowHeight="9"/>
  <cols>
    <col min="1" max="1" width="7.5703125" style="1" customWidth="1"/>
    <col min="2" max="2" width="25.42578125" style="1" customWidth="1"/>
    <col min="3" max="3" width="34" style="1" customWidth="1"/>
    <col min="4" max="4" width="10.28515625" style="1" customWidth="1"/>
    <col min="5" max="5" width="24.85546875" style="1" customWidth="1"/>
    <col min="6" max="6" width="14.5703125" style="1" customWidth="1"/>
    <col min="7" max="7" width="16.140625" style="1" customWidth="1"/>
    <col min="8" max="8" width="30" style="1" customWidth="1"/>
    <col min="9" max="9" width="12.7109375" style="1" customWidth="1"/>
    <col min="10" max="10" width="15" style="1" customWidth="1"/>
    <col min="11" max="11" width="9.7109375" style="1" customWidth="1"/>
    <col min="12" max="12" width="7.7109375" style="1" customWidth="1"/>
    <col min="13" max="13" width="13.28515625" style="1" customWidth="1"/>
    <col min="14" max="14" width="10.42578125" style="1" customWidth="1"/>
    <col min="15" max="15" width="21" style="1" customWidth="1"/>
    <col min="16" max="16" width="10" style="1" customWidth="1"/>
    <col min="17" max="17" width="23.85546875" style="1" customWidth="1"/>
    <col min="18" max="18" width="22.140625" style="1" customWidth="1"/>
    <col min="19" max="19" width="23.140625" style="1" customWidth="1"/>
    <col min="20" max="20" width="22.7109375" style="1" customWidth="1"/>
    <col min="21" max="21" width="24.42578125" style="1" customWidth="1"/>
    <col min="22" max="22" width="21.28515625" style="1" customWidth="1"/>
    <col min="23" max="23" width="21.7109375" style="1" customWidth="1"/>
    <col min="24" max="24" width="12.85546875" style="1" bestFit="1" customWidth="1"/>
    <col min="25" max="16384" width="9.140625" style="1"/>
  </cols>
  <sheetData>
    <row r="1" spans="1:24" ht="20.25">
      <c r="A1" s="29" t="s">
        <v>260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20.25">
      <c r="A2" s="29" t="s">
        <v>261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</row>
    <row r="3" spans="1:24" ht="20.25">
      <c r="A3" s="29" t="s">
        <v>265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4" ht="20.25">
      <c r="A4" s="29" t="s">
        <v>262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spans="1:24" ht="20.25">
      <c r="A5" s="29" t="s">
        <v>263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4" ht="20.25">
      <c r="A6" s="29" t="s">
        <v>264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spans="1:24" ht="15" customHeigh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</row>
    <row r="8" spans="1:24" ht="15" customHeight="1">
      <c r="A8" s="7"/>
      <c r="B8" s="7" t="s">
        <v>0</v>
      </c>
      <c r="C8" s="35" t="s">
        <v>1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</row>
    <row r="9" spans="1:24" ht="15" customHeight="1">
      <c r="A9" s="7"/>
      <c r="B9" s="7" t="s">
        <v>2</v>
      </c>
      <c r="C9" s="35" t="s">
        <v>3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</row>
    <row r="10" spans="1:24" ht="15" customHeight="1">
      <c r="A10" s="7"/>
      <c r="B10" s="7" t="s">
        <v>4</v>
      </c>
      <c r="C10" s="35" t="s">
        <v>5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</row>
    <row r="11" spans="1:24" ht="15" customHeight="1">
      <c r="A11" s="7"/>
      <c r="B11" s="7" t="s">
        <v>6</v>
      </c>
      <c r="C11" s="35" t="s">
        <v>7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</row>
    <row r="12" spans="1:24" ht="23.25" customHeight="1" thickBot="1">
      <c r="A12" s="7"/>
      <c r="B12" s="7" t="s">
        <v>8</v>
      </c>
      <c r="C12" s="36" t="s">
        <v>9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</row>
    <row r="13" spans="1:24" ht="51" customHeight="1" thickBot="1">
      <c r="A13" s="8" t="s">
        <v>10</v>
      </c>
      <c r="B13" s="8" t="s">
        <v>11</v>
      </c>
      <c r="C13" s="8" t="s">
        <v>12</v>
      </c>
      <c r="D13" s="8" t="s">
        <v>13</v>
      </c>
      <c r="E13" s="8" t="s">
        <v>14</v>
      </c>
      <c r="F13" s="8" t="s">
        <v>15</v>
      </c>
      <c r="G13" s="8" t="s">
        <v>16</v>
      </c>
      <c r="H13" s="8" t="s">
        <v>17</v>
      </c>
      <c r="I13" s="8" t="s">
        <v>18</v>
      </c>
      <c r="J13" s="8" t="s">
        <v>19</v>
      </c>
      <c r="K13" s="8" t="s">
        <v>20</v>
      </c>
      <c r="L13" s="8" t="s">
        <v>21</v>
      </c>
      <c r="M13" s="8" t="s">
        <v>22</v>
      </c>
      <c r="N13" s="8" t="s">
        <v>23</v>
      </c>
      <c r="O13" s="8" t="s">
        <v>24</v>
      </c>
      <c r="P13" s="8" t="s">
        <v>25</v>
      </c>
      <c r="Q13" s="8" t="s">
        <v>26</v>
      </c>
      <c r="R13" s="8" t="s">
        <v>27</v>
      </c>
      <c r="S13" s="8" t="s">
        <v>28</v>
      </c>
      <c r="T13" s="8" t="s">
        <v>29</v>
      </c>
      <c r="U13" s="14" t="s">
        <v>266</v>
      </c>
      <c r="V13" s="14" t="s">
        <v>267</v>
      </c>
      <c r="W13" s="14" t="s">
        <v>268</v>
      </c>
    </row>
    <row r="14" spans="1:24" ht="51" customHeight="1" thickBot="1">
      <c r="A14" s="8">
        <v>1</v>
      </c>
      <c r="B14" s="8">
        <v>2</v>
      </c>
      <c r="C14" s="8">
        <v>3</v>
      </c>
      <c r="D14" s="8">
        <v>4</v>
      </c>
      <c r="E14" s="8">
        <v>5</v>
      </c>
      <c r="F14" s="8">
        <v>6</v>
      </c>
      <c r="G14" s="8">
        <v>7</v>
      </c>
      <c r="H14" s="8">
        <v>8</v>
      </c>
      <c r="I14" s="8">
        <v>9</v>
      </c>
      <c r="J14" s="8">
        <v>10</v>
      </c>
      <c r="K14" s="8">
        <v>11</v>
      </c>
      <c r="L14" s="8">
        <v>12</v>
      </c>
      <c r="M14" s="8">
        <v>13</v>
      </c>
      <c r="N14" s="8">
        <v>14</v>
      </c>
      <c r="O14" s="8" t="s">
        <v>30</v>
      </c>
      <c r="P14" s="8">
        <v>16</v>
      </c>
      <c r="Q14" s="8" t="s">
        <v>31</v>
      </c>
      <c r="R14" s="8">
        <v>18</v>
      </c>
      <c r="S14" s="8" t="s">
        <v>32</v>
      </c>
      <c r="T14" s="8">
        <v>20</v>
      </c>
      <c r="U14" s="15"/>
      <c r="V14" s="15"/>
      <c r="W14" s="16"/>
    </row>
    <row r="15" spans="1:24" ht="51" customHeight="1" thickBot="1">
      <c r="A15" s="9">
        <v>1</v>
      </c>
      <c r="B15" s="10" t="s">
        <v>33</v>
      </c>
      <c r="C15" s="12" t="s">
        <v>34</v>
      </c>
      <c r="D15" s="9" t="s">
        <v>35</v>
      </c>
      <c r="E15" s="9" t="s">
        <v>36</v>
      </c>
      <c r="F15" s="9" t="s">
        <v>37</v>
      </c>
      <c r="G15" s="9" t="s">
        <v>38</v>
      </c>
      <c r="H15" s="12" t="s">
        <v>39</v>
      </c>
      <c r="I15" s="9" t="s">
        <v>40</v>
      </c>
      <c r="J15" s="9" t="s">
        <v>41</v>
      </c>
      <c r="K15" s="9">
        <v>14</v>
      </c>
      <c r="L15" s="9"/>
      <c r="M15" s="37">
        <v>4000</v>
      </c>
      <c r="N15" s="9">
        <v>2865</v>
      </c>
      <c r="O15" s="9" t="s">
        <v>42</v>
      </c>
      <c r="P15" s="11">
        <v>1</v>
      </c>
      <c r="Q15" s="37">
        <v>11460000</v>
      </c>
      <c r="R15" s="37">
        <v>1719000</v>
      </c>
      <c r="S15" s="37">
        <v>9741000</v>
      </c>
      <c r="T15" s="9" t="s">
        <v>43</v>
      </c>
      <c r="U15" s="17">
        <f>5413290+2025000</f>
        <v>7438290</v>
      </c>
      <c r="V15" s="17">
        <f>IF($U15&gt;12000000,0,IF($Q15+$U15&gt;12000000,ROUND((12000000-$U15)*1%,0),ROUND($Q15*1%,0)))</f>
        <v>45617</v>
      </c>
      <c r="W15" s="17">
        <f>IF($U15&gt;12000000,0,IF($Q15+$U15&gt;12000000,ROUND((12000000-$U15)*4%,0),ROUND($Q15*4%,0)))</f>
        <v>182468</v>
      </c>
      <c r="X15" s="22"/>
    </row>
    <row r="16" spans="1:24" ht="51" customHeight="1" thickBot="1">
      <c r="A16" s="9">
        <v>2</v>
      </c>
      <c r="B16" s="10" t="s">
        <v>44</v>
      </c>
      <c r="C16" s="12" t="s">
        <v>45</v>
      </c>
      <c r="D16" s="9" t="s">
        <v>46</v>
      </c>
      <c r="E16" s="9" t="s">
        <v>47</v>
      </c>
      <c r="F16" s="9" t="s">
        <v>37</v>
      </c>
      <c r="G16" s="9" t="s">
        <v>48</v>
      </c>
      <c r="H16" s="12" t="s">
        <v>49</v>
      </c>
      <c r="I16" s="9" t="s">
        <v>50</v>
      </c>
      <c r="J16" s="9" t="s">
        <v>51</v>
      </c>
      <c r="K16" s="9">
        <v>12</v>
      </c>
      <c r="L16" s="9"/>
      <c r="M16" s="37">
        <v>4000</v>
      </c>
      <c r="N16" s="9">
        <v>2115</v>
      </c>
      <c r="O16" s="9" t="s">
        <v>52</v>
      </c>
      <c r="P16" s="11">
        <v>1</v>
      </c>
      <c r="Q16" s="37">
        <v>8417700</v>
      </c>
      <c r="R16" s="37">
        <v>1262655</v>
      </c>
      <c r="S16" s="37">
        <v>7155045</v>
      </c>
      <c r="T16" s="9" t="s">
        <v>43</v>
      </c>
      <c r="U16" s="17">
        <f>4416700+1260000</f>
        <v>5676700</v>
      </c>
      <c r="V16" s="17">
        <f t="shared" ref="V16:V53" si="0">IF($U16&gt;12000000,0,IF($Q16+$U16&gt;12000000,ROUND((12000000-$U16)*1%,0),ROUND($Q16*1%,0)))</f>
        <v>63233</v>
      </c>
      <c r="W16" s="17">
        <f t="shared" ref="W16:W53" si="1">IF($U16&gt;12000000,0,IF($Q16+$U16&gt;12000000,ROUND((12000000-$U16)*4%,0),ROUND($Q16*4%,0)))</f>
        <v>252932</v>
      </c>
      <c r="X16" s="22"/>
    </row>
    <row r="17" spans="1:24" ht="51" customHeight="1" thickBot="1">
      <c r="A17" s="9">
        <v>3</v>
      </c>
      <c r="B17" s="10" t="s">
        <v>53</v>
      </c>
      <c r="C17" s="12" t="s">
        <v>54</v>
      </c>
      <c r="D17" s="9" t="s">
        <v>46</v>
      </c>
      <c r="E17" s="9" t="s">
        <v>55</v>
      </c>
      <c r="F17" s="9" t="s">
        <v>37</v>
      </c>
      <c r="G17" s="9" t="s">
        <v>56</v>
      </c>
      <c r="H17" s="12" t="s">
        <v>57</v>
      </c>
      <c r="I17" s="9" t="s">
        <v>40</v>
      </c>
      <c r="J17" s="9" t="s">
        <v>58</v>
      </c>
      <c r="K17" s="9">
        <v>11</v>
      </c>
      <c r="L17" s="9"/>
      <c r="M17" s="37">
        <v>4000</v>
      </c>
      <c r="N17" s="9">
        <v>2045</v>
      </c>
      <c r="O17" s="9" t="s">
        <v>59</v>
      </c>
      <c r="P17" s="11">
        <v>1</v>
      </c>
      <c r="Q17" s="37">
        <v>8180000</v>
      </c>
      <c r="R17" s="37">
        <v>1227000</v>
      </c>
      <c r="S17" s="37">
        <v>6953000</v>
      </c>
      <c r="T17" s="9" t="s">
        <v>43</v>
      </c>
      <c r="U17" s="17">
        <f>4946704+980000</f>
        <v>5926704</v>
      </c>
      <c r="V17" s="17">
        <f t="shared" si="0"/>
        <v>60733</v>
      </c>
      <c r="W17" s="17">
        <f t="shared" si="1"/>
        <v>242932</v>
      </c>
      <c r="X17" s="22"/>
    </row>
    <row r="18" spans="1:24" ht="51" customHeight="1" thickBot="1">
      <c r="A18" s="9">
        <v>4</v>
      </c>
      <c r="B18" s="10" t="s">
        <v>60</v>
      </c>
      <c r="C18" s="12" t="s">
        <v>61</v>
      </c>
      <c r="D18" s="9" t="s">
        <v>62</v>
      </c>
      <c r="E18" s="9" t="s">
        <v>63</v>
      </c>
      <c r="F18" s="9" t="s">
        <v>37</v>
      </c>
      <c r="G18" s="9" t="s">
        <v>64</v>
      </c>
      <c r="H18" s="12" t="s">
        <v>65</v>
      </c>
      <c r="I18" s="9" t="s">
        <v>40</v>
      </c>
      <c r="J18" s="9" t="s">
        <v>58</v>
      </c>
      <c r="K18" s="9">
        <v>11</v>
      </c>
      <c r="L18" s="9"/>
      <c r="M18" s="37">
        <v>4000</v>
      </c>
      <c r="N18" s="9">
        <v>2045</v>
      </c>
      <c r="O18" s="9" t="s">
        <v>59</v>
      </c>
      <c r="P18" s="11">
        <v>1</v>
      </c>
      <c r="Q18" s="37">
        <v>8180000</v>
      </c>
      <c r="R18" s="37">
        <v>409000</v>
      </c>
      <c r="S18" s="37">
        <v>7771000</v>
      </c>
      <c r="T18" s="9" t="s">
        <v>43</v>
      </c>
      <c r="U18" s="17">
        <f>4830750+980000</f>
        <v>5810750</v>
      </c>
      <c r="V18" s="17">
        <f t="shared" si="0"/>
        <v>61893</v>
      </c>
      <c r="W18" s="17">
        <f t="shared" si="1"/>
        <v>247570</v>
      </c>
      <c r="X18" s="22"/>
    </row>
    <row r="19" spans="1:24" ht="51" customHeight="1" thickBot="1">
      <c r="A19" s="9">
        <v>5</v>
      </c>
      <c r="B19" s="10" t="s">
        <v>66</v>
      </c>
      <c r="C19" s="12" t="s">
        <v>67</v>
      </c>
      <c r="D19" s="9" t="s">
        <v>62</v>
      </c>
      <c r="E19" s="9" t="s">
        <v>68</v>
      </c>
      <c r="F19" s="9" t="s">
        <v>37</v>
      </c>
      <c r="G19" s="9" t="s">
        <v>69</v>
      </c>
      <c r="H19" s="12" t="s">
        <v>70</v>
      </c>
      <c r="I19" s="9" t="s">
        <v>40</v>
      </c>
      <c r="J19" s="9" t="s">
        <v>58</v>
      </c>
      <c r="K19" s="9">
        <v>11</v>
      </c>
      <c r="L19" s="9"/>
      <c r="M19" s="37">
        <v>4000</v>
      </c>
      <c r="N19" s="9">
        <v>2045</v>
      </c>
      <c r="O19" s="9" t="s">
        <v>59</v>
      </c>
      <c r="P19" s="11">
        <v>1</v>
      </c>
      <c r="Q19" s="37">
        <v>8180000</v>
      </c>
      <c r="R19" s="37">
        <v>409000</v>
      </c>
      <c r="S19" s="37">
        <v>7771000</v>
      </c>
      <c r="T19" s="9" t="s">
        <v>43</v>
      </c>
      <c r="U19" s="17">
        <f>3518100+980000</f>
        <v>4498100</v>
      </c>
      <c r="V19" s="17">
        <f t="shared" si="0"/>
        <v>75019</v>
      </c>
      <c r="W19" s="17">
        <f t="shared" si="1"/>
        <v>300076</v>
      </c>
      <c r="X19" s="22"/>
    </row>
    <row r="20" spans="1:24" ht="51" customHeight="1" thickBot="1">
      <c r="A20" s="9">
        <v>6</v>
      </c>
      <c r="B20" s="10" t="s">
        <v>71</v>
      </c>
      <c r="C20" s="12" t="s">
        <v>72</v>
      </c>
      <c r="D20" s="9" t="s">
        <v>62</v>
      </c>
      <c r="E20" s="9" t="s">
        <v>73</v>
      </c>
      <c r="F20" s="9" t="s">
        <v>37</v>
      </c>
      <c r="G20" s="9" t="s">
        <v>74</v>
      </c>
      <c r="H20" s="12" t="s">
        <v>75</v>
      </c>
      <c r="I20" s="9" t="s">
        <v>40</v>
      </c>
      <c r="J20" s="9" t="s">
        <v>76</v>
      </c>
      <c r="K20" s="9">
        <v>9</v>
      </c>
      <c r="L20" s="9"/>
      <c r="M20" s="37">
        <v>4000</v>
      </c>
      <c r="N20" s="9">
        <v>1430</v>
      </c>
      <c r="O20" s="9" t="s">
        <v>77</v>
      </c>
      <c r="P20" s="11">
        <v>1</v>
      </c>
      <c r="Q20" s="37">
        <v>5720000</v>
      </c>
      <c r="R20" s="37">
        <v>286000</v>
      </c>
      <c r="S20" s="37">
        <v>5434000</v>
      </c>
      <c r="T20" s="9" t="s">
        <v>43</v>
      </c>
      <c r="U20" s="17">
        <f>4540164+540000</f>
        <v>5080164</v>
      </c>
      <c r="V20" s="17">
        <f t="shared" si="0"/>
        <v>57200</v>
      </c>
      <c r="W20" s="17">
        <f t="shared" si="1"/>
        <v>228800</v>
      </c>
    </row>
    <row r="21" spans="1:24" ht="51" customHeight="1" thickBot="1">
      <c r="A21" s="9">
        <v>7</v>
      </c>
      <c r="B21" s="10" t="s">
        <v>78</v>
      </c>
      <c r="C21" s="12" t="s">
        <v>79</v>
      </c>
      <c r="D21" s="9" t="s">
        <v>62</v>
      </c>
      <c r="E21" s="9" t="s">
        <v>80</v>
      </c>
      <c r="F21" s="9" t="s">
        <v>37</v>
      </c>
      <c r="G21" s="9" t="s">
        <v>81</v>
      </c>
      <c r="H21" s="12" t="s">
        <v>75</v>
      </c>
      <c r="I21" s="9" t="s">
        <v>82</v>
      </c>
      <c r="J21" s="9" t="s">
        <v>83</v>
      </c>
      <c r="K21" s="9">
        <v>8</v>
      </c>
      <c r="L21" s="9"/>
      <c r="M21" s="37">
        <v>4000</v>
      </c>
      <c r="N21" s="9">
        <v>1295</v>
      </c>
      <c r="O21" s="9" t="s">
        <v>84</v>
      </c>
      <c r="P21" s="11">
        <v>1</v>
      </c>
      <c r="Q21" s="37">
        <v>5102300</v>
      </c>
      <c r="R21" s="37">
        <v>255115</v>
      </c>
      <c r="S21" s="37">
        <v>4847185</v>
      </c>
      <c r="T21" s="9" t="s">
        <v>43</v>
      </c>
      <c r="U21" s="17">
        <f>4322250+540000</f>
        <v>4862250</v>
      </c>
      <c r="V21" s="17">
        <f t="shared" si="0"/>
        <v>51023</v>
      </c>
      <c r="W21" s="17">
        <f t="shared" si="1"/>
        <v>204092</v>
      </c>
    </row>
    <row r="22" spans="1:24" ht="51" customHeight="1" thickBot="1">
      <c r="A22" s="9">
        <v>8</v>
      </c>
      <c r="B22" s="10" t="s">
        <v>85</v>
      </c>
      <c r="C22" s="12" t="s">
        <v>86</v>
      </c>
      <c r="D22" s="9" t="s">
        <v>62</v>
      </c>
      <c r="E22" s="9" t="s">
        <v>87</v>
      </c>
      <c r="F22" s="9" t="s">
        <v>37</v>
      </c>
      <c r="G22" s="9" t="s">
        <v>88</v>
      </c>
      <c r="H22" s="12" t="s">
        <v>75</v>
      </c>
      <c r="I22" s="9" t="s">
        <v>89</v>
      </c>
      <c r="J22" s="9" t="s">
        <v>76</v>
      </c>
      <c r="K22" s="9">
        <v>9</v>
      </c>
      <c r="L22" s="9"/>
      <c r="M22" s="37">
        <v>4000</v>
      </c>
      <c r="N22" s="9">
        <v>1430</v>
      </c>
      <c r="O22" s="9" t="s">
        <v>77</v>
      </c>
      <c r="P22" s="11">
        <v>1</v>
      </c>
      <c r="Q22" s="37">
        <v>5419700</v>
      </c>
      <c r="R22" s="37">
        <v>270985</v>
      </c>
      <c r="S22" s="37">
        <v>5148715</v>
      </c>
      <c r="T22" s="9" t="s">
        <v>43</v>
      </c>
      <c r="U22" s="17">
        <f>3743100+540000</f>
        <v>4283100</v>
      </c>
      <c r="V22" s="17">
        <f t="shared" si="0"/>
        <v>54197</v>
      </c>
      <c r="W22" s="17">
        <f t="shared" si="1"/>
        <v>216788</v>
      </c>
    </row>
    <row r="23" spans="1:24" ht="51" customHeight="1" thickBot="1">
      <c r="A23" s="9">
        <v>9</v>
      </c>
      <c r="B23" s="10" t="s">
        <v>90</v>
      </c>
      <c r="C23" s="12" t="s">
        <v>91</v>
      </c>
      <c r="D23" s="9" t="s">
        <v>62</v>
      </c>
      <c r="E23" s="9" t="s">
        <v>92</v>
      </c>
      <c r="F23" s="9" t="s">
        <v>37</v>
      </c>
      <c r="G23" s="9" t="s">
        <v>93</v>
      </c>
      <c r="H23" s="12" t="s">
        <v>75</v>
      </c>
      <c r="I23" s="9" t="s">
        <v>40</v>
      </c>
      <c r="J23" s="9" t="s">
        <v>76</v>
      </c>
      <c r="K23" s="9">
        <v>9</v>
      </c>
      <c r="L23" s="9"/>
      <c r="M23" s="37">
        <v>4000</v>
      </c>
      <c r="N23" s="9">
        <v>1430</v>
      </c>
      <c r="O23" s="9" t="s">
        <v>77</v>
      </c>
      <c r="P23" s="11">
        <v>1</v>
      </c>
      <c r="Q23" s="37">
        <v>5720000</v>
      </c>
      <c r="R23" s="37">
        <v>286000</v>
      </c>
      <c r="S23" s="37">
        <v>5434000</v>
      </c>
      <c r="T23" s="9" t="s">
        <v>43</v>
      </c>
      <c r="U23" s="17">
        <f>4192272+540000</f>
        <v>4732272</v>
      </c>
      <c r="V23" s="17">
        <f t="shared" si="0"/>
        <v>57200</v>
      </c>
      <c r="W23" s="17">
        <f t="shared" si="1"/>
        <v>228800</v>
      </c>
    </row>
    <row r="24" spans="1:24" ht="51" customHeight="1" thickBot="1">
      <c r="A24" s="9">
        <v>10</v>
      </c>
      <c r="B24" s="10" t="s">
        <v>94</v>
      </c>
      <c r="C24" s="12" t="s">
        <v>95</v>
      </c>
      <c r="D24" s="9" t="s">
        <v>62</v>
      </c>
      <c r="E24" s="9" t="s">
        <v>96</v>
      </c>
      <c r="F24" s="9" t="s">
        <v>37</v>
      </c>
      <c r="G24" s="9" t="s">
        <v>97</v>
      </c>
      <c r="H24" s="12" t="s">
        <v>75</v>
      </c>
      <c r="I24" s="9" t="s">
        <v>40</v>
      </c>
      <c r="J24" s="9" t="s">
        <v>76</v>
      </c>
      <c r="K24" s="9">
        <v>9</v>
      </c>
      <c r="L24" s="9"/>
      <c r="M24" s="37">
        <v>4000</v>
      </c>
      <c r="N24" s="9">
        <v>1430</v>
      </c>
      <c r="O24" s="9" t="s">
        <v>77</v>
      </c>
      <c r="P24" s="11">
        <v>1</v>
      </c>
      <c r="Q24" s="37">
        <v>5720000</v>
      </c>
      <c r="R24" s="37">
        <v>286000</v>
      </c>
      <c r="S24" s="37">
        <v>5434000</v>
      </c>
      <c r="T24" s="9" t="s">
        <v>43</v>
      </c>
      <c r="U24" s="17">
        <f>4267134+540000</f>
        <v>4807134</v>
      </c>
      <c r="V24" s="17">
        <f t="shared" si="0"/>
        <v>57200</v>
      </c>
      <c r="W24" s="17">
        <f t="shared" si="1"/>
        <v>228800</v>
      </c>
    </row>
    <row r="25" spans="1:24" ht="51" customHeight="1" thickBot="1">
      <c r="A25" s="9">
        <v>11</v>
      </c>
      <c r="B25" s="10" t="s">
        <v>98</v>
      </c>
      <c r="C25" s="12" t="s">
        <v>99</v>
      </c>
      <c r="D25" s="9" t="s">
        <v>62</v>
      </c>
      <c r="E25" s="9" t="s">
        <v>100</v>
      </c>
      <c r="F25" s="9" t="s">
        <v>37</v>
      </c>
      <c r="G25" s="9" t="s">
        <v>101</v>
      </c>
      <c r="H25" s="12" t="s">
        <v>102</v>
      </c>
      <c r="I25" s="9" t="s">
        <v>103</v>
      </c>
      <c r="J25" s="9" t="s">
        <v>76</v>
      </c>
      <c r="K25" s="9">
        <v>9</v>
      </c>
      <c r="L25" s="9"/>
      <c r="M25" s="37">
        <v>4000</v>
      </c>
      <c r="N25" s="9">
        <v>1430</v>
      </c>
      <c r="O25" s="9" t="s">
        <v>77</v>
      </c>
      <c r="P25" s="11">
        <v>1</v>
      </c>
      <c r="Q25" s="37">
        <v>5677100</v>
      </c>
      <c r="R25" s="37">
        <v>283855</v>
      </c>
      <c r="S25" s="37">
        <v>5393245</v>
      </c>
      <c r="T25" s="9" t="s">
        <v>43</v>
      </c>
      <c r="U25" s="17">
        <f>3940272+540000</f>
        <v>4480272</v>
      </c>
      <c r="V25" s="17">
        <f t="shared" si="0"/>
        <v>56771</v>
      </c>
      <c r="W25" s="17">
        <f t="shared" si="1"/>
        <v>227084</v>
      </c>
      <c r="X25" s="22"/>
    </row>
    <row r="26" spans="1:24" ht="51" customHeight="1" thickBot="1">
      <c r="A26" s="9">
        <v>12</v>
      </c>
      <c r="B26" s="10" t="s">
        <v>104</v>
      </c>
      <c r="C26" s="12" t="s">
        <v>105</v>
      </c>
      <c r="D26" s="9" t="s">
        <v>106</v>
      </c>
      <c r="E26" s="9" t="s">
        <v>107</v>
      </c>
      <c r="F26" s="9" t="s">
        <v>37</v>
      </c>
      <c r="G26" s="9" t="s">
        <v>108</v>
      </c>
      <c r="H26" s="12" t="s">
        <v>75</v>
      </c>
      <c r="I26" s="9" t="s">
        <v>40</v>
      </c>
      <c r="J26" s="9" t="s">
        <v>76</v>
      </c>
      <c r="K26" s="9">
        <v>9</v>
      </c>
      <c r="L26" s="9"/>
      <c r="M26" s="37">
        <v>4000</v>
      </c>
      <c r="N26" s="9">
        <v>1430</v>
      </c>
      <c r="O26" s="9" t="s">
        <v>77</v>
      </c>
      <c r="P26" s="11">
        <v>1</v>
      </c>
      <c r="Q26" s="37">
        <v>5720000</v>
      </c>
      <c r="R26" s="37">
        <v>286000</v>
      </c>
      <c r="S26" s="37">
        <v>5434000</v>
      </c>
      <c r="T26" s="9" t="s">
        <v>43</v>
      </c>
      <c r="U26" s="17">
        <f>3734848+540000</f>
        <v>4274848</v>
      </c>
      <c r="V26" s="17">
        <f t="shared" si="0"/>
        <v>57200</v>
      </c>
      <c r="W26" s="17">
        <f t="shared" si="1"/>
        <v>228800</v>
      </c>
      <c r="X26" s="22"/>
    </row>
    <row r="27" spans="1:24" ht="51" customHeight="1" thickBot="1">
      <c r="A27" s="9">
        <v>13</v>
      </c>
      <c r="B27" s="10" t="s">
        <v>109</v>
      </c>
      <c r="C27" s="12" t="s">
        <v>110</v>
      </c>
      <c r="D27" s="9" t="s">
        <v>111</v>
      </c>
      <c r="E27" s="9" t="s">
        <v>112</v>
      </c>
      <c r="F27" s="9" t="s">
        <v>37</v>
      </c>
      <c r="G27" s="9" t="s">
        <v>113</v>
      </c>
      <c r="H27" s="12" t="s">
        <v>75</v>
      </c>
      <c r="I27" s="9" t="s">
        <v>114</v>
      </c>
      <c r="J27" s="9" t="s">
        <v>76</v>
      </c>
      <c r="K27" s="9">
        <v>9</v>
      </c>
      <c r="L27" s="9"/>
      <c r="M27" s="37">
        <v>4000</v>
      </c>
      <c r="N27" s="9">
        <v>1430</v>
      </c>
      <c r="O27" s="9" t="s">
        <v>77</v>
      </c>
      <c r="P27" s="11">
        <v>1</v>
      </c>
      <c r="Q27" s="37">
        <v>4833400</v>
      </c>
      <c r="R27" s="37">
        <v>241670</v>
      </c>
      <c r="S27" s="37">
        <v>4591730</v>
      </c>
      <c r="T27" s="9" t="s">
        <v>43</v>
      </c>
      <c r="U27" s="17">
        <f>3363684+540000</f>
        <v>3903684</v>
      </c>
      <c r="V27" s="17">
        <f t="shared" si="0"/>
        <v>48334</v>
      </c>
      <c r="W27" s="17">
        <f t="shared" si="1"/>
        <v>193336</v>
      </c>
      <c r="X27" s="22"/>
    </row>
    <row r="28" spans="1:24" ht="51" customHeight="1" thickBot="1">
      <c r="A28" s="9">
        <v>14</v>
      </c>
      <c r="B28" s="10" t="s">
        <v>115</v>
      </c>
      <c r="C28" s="12" t="s">
        <v>116</v>
      </c>
      <c r="D28" s="9" t="s">
        <v>117</v>
      </c>
      <c r="E28" s="9" t="s">
        <v>118</v>
      </c>
      <c r="F28" s="9" t="s">
        <v>37</v>
      </c>
      <c r="G28" s="9" t="s">
        <v>119</v>
      </c>
      <c r="H28" s="12" t="s">
        <v>120</v>
      </c>
      <c r="I28" s="9" t="s">
        <v>121</v>
      </c>
      <c r="J28" s="9" t="s">
        <v>122</v>
      </c>
      <c r="K28" s="9">
        <v>13</v>
      </c>
      <c r="L28" s="9"/>
      <c r="M28" s="37">
        <v>4000</v>
      </c>
      <c r="N28" s="9">
        <v>2485</v>
      </c>
      <c r="O28" s="9" t="s">
        <v>123</v>
      </c>
      <c r="P28" s="11">
        <v>1</v>
      </c>
      <c r="Q28" s="37">
        <v>9741200</v>
      </c>
      <c r="R28" s="37">
        <v>1461180</v>
      </c>
      <c r="S28" s="37">
        <v>8280020</v>
      </c>
      <c r="T28" s="9" t="s">
        <v>43</v>
      </c>
      <c r="U28" s="17">
        <f>5154672+2040000</f>
        <v>7194672</v>
      </c>
      <c r="V28" s="17">
        <f t="shared" si="0"/>
        <v>48053</v>
      </c>
      <c r="W28" s="17">
        <f t="shared" si="1"/>
        <v>192213</v>
      </c>
      <c r="X28" s="22"/>
    </row>
    <row r="29" spans="1:24" ht="51" customHeight="1" thickBot="1">
      <c r="A29" s="9">
        <v>15</v>
      </c>
      <c r="B29" s="10" t="s">
        <v>124</v>
      </c>
      <c r="C29" s="12" t="s">
        <v>125</v>
      </c>
      <c r="D29" s="9" t="s">
        <v>126</v>
      </c>
      <c r="E29" s="9" t="s">
        <v>127</v>
      </c>
      <c r="F29" s="9" t="s">
        <v>37</v>
      </c>
      <c r="G29" s="9" t="s">
        <v>128</v>
      </c>
      <c r="H29" s="12" t="s">
        <v>129</v>
      </c>
      <c r="I29" s="9" t="s">
        <v>130</v>
      </c>
      <c r="J29" s="9" t="s">
        <v>131</v>
      </c>
      <c r="K29" s="9">
        <v>7</v>
      </c>
      <c r="L29" s="9"/>
      <c r="M29" s="37">
        <v>4000</v>
      </c>
      <c r="N29" s="9">
        <v>890</v>
      </c>
      <c r="O29" s="9" t="s">
        <v>132</v>
      </c>
      <c r="P29" s="11">
        <v>1</v>
      </c>
      <c r="Q29" s="37">
        <v>3524400</v>
      </c>
      <c r="R29" s="37">
        <v>528660</v>
      </c>
      <c r="S29" s="37">
        <v>2995740</v>
      </c>
      <c r="T29" s="9" t="s">
        <v>43</v>
      </c>
      <c r="U29" s="17">
        <f>5374096+190000</f>
        <v>5564096</v>
      </c>
      <c r="V29" s="17">
        <f t="shared" si="0"/>
        <v>35244</v>
      </c>
      <c r="W29" s="17">
        <f t="shared" si="1"/>
        <v>140976</v>
      </c>
    </row>
    <row r="30" spans="1:24" ht="51" customHeight="1" thickBot="1">
      <c r="A30" s="9">
        <v>16</v>
      </c>
      <c r="B30" s="10" t="s">
        <v>133</v>
      </c>
      <c r="C30" s="12" t="s">
        <v>134</v>
      </c>
      <c r="D30" s="9" t="s">
        <v>35</v>
      </c>
      <c r="E30" s="9" t="s">
        <v>135</v>
      </c>
      <c r="F30" s="9" t="s">
        <v>37</v>
      </c>
      <c r="G30" s="9" t="s">
        <v>136</v>
      </c>
      <c r="H30" s="12" t="s">
        <v>129</v>
      </c>
      <c r="I30" s="9" t="s">
        <v>40</v>
      </c>
      <c r="J30" s="9" t="s">
        <v>131</v>
      </c>
      <c r="K30" s="9">
        <v>7</v>
      </c>
      <c r="L30" s="9"/>
      <c r="M30" s="37">
        <v>4000</v>
      </c>
      <c r="N30" s="9">
        <v>890</v>
      </c>
      <c r="O30" s="9" t="s">
        <v>132</v>
      </c>
      <c r="P30" s="11">
        <v>1</v>
      </c>
      <c r="Q30" s="37">
        <v>3560000</v>
      </c>
      <c r="R30" s="37">
        <v>534000</v>
      </c>
      <c r="S30" s="37">
        <v>3026000</v>
      </c>
      <c r="T30" s="9" t="s">
        <v>43</v>
      </c>
      <c r="U30" s="17">
        <f>5063850+190000</f>
        <v>5253850</v>
      </c>
      <c r="V30" s="17">
        <f t="shared" si="0"/>
        <v>35600</v>
      </c>
      <c r="W30" s="17">
        <f t="shared" si="1"/>
        <v>142400</v>
      </c>
    </row>
    <row r="31" spans="1:24" ht="51" customHeight="1" thickBot="1">
      <c r="A31" s="9">
        <v>17</v>
      </c>
      <c r="B31" s="10" t="s">
        <v>137</v>
      </c>
      <c r="C31" s="12" t="s">
        <v>138</v>
      </c>
      <c r="D31" s="9" t="s">
        <v>35</v>
      </c>
      <c r="E31" s="9" t="s">
        <v>139</v>
      </c>
      <c r="F31" s="9" t="s">
        <v>37</v>
      </c>
      <c r="G31" s="9" t="s">
        <v>140</v>
      </c>
      <c r="H31" s="12" t="s">
        <v>141</v>
      </c>
      <c r="I31" s="9" t="s">
        <v>40</v>
      </c>
      <c r="J31" s="9" t="s">
        <v>76</v>
      </c>
      <c r="K31" s="9">
        <v>9</v>
      </c>
      <c r="L31" s="9"/>
      <c r="M31" s="37">
        <v>4000</v>
      </c>
      <c r="N31" s="9">
        <v>1355</v>
      </c>
      <c r="O31" s="9" t="s">
        <v>142</v>
      </c>
      <c r="P31" s="11">
        <v>1</v>
      </c>
      <c r="Q31" s="37">
        <v>5420000</v>
      </c>
      <c r="R31" s="37">
        <v>813000</v>
      </c>
      <c r="S31" s="37">
        <v>4607000</v>
      </c>
      <c r="T31" s="9" t="s">
        <v>43</v>
      </c>
      <c r="U31" s="17">
        <f>5247990+1108000</f>
        <v>6355990</v>
      </c>
      <c r="V31" s="17">
        <f t="shared" si="0"/>
        <v>54200</v>
      </c>
      <c r="W31" s="17">
        <f t="shared" si="1"/>
        <v>216800</v>
      </c>
    </row>
    <row r="32" spans="1:24" ht="51" customHeight="1" thickBot="1">
      <c r="A32" s="9">
        <v>18</v>
      </c>
      <c r="B32" s="10" t="s">
        <v>143</v>
      </c>
      <c r="C32" s="12" t="s">
        <v>144</v>
      </c>
      <c r="D32" s="9" t="s">
        <v>62</v>
      </c>
      <c r="E32" s="9" t="s">
        <v>145</v>
      </c>
      <c r="F32" s="9" t="s">
        <v>37</v>
      </c>
      <c r="G32" s="9" t="s">
        <v>146</v>
      </c>
      <c r="H32" s="12" t="s">
        <v>147</v>
      </c>
      <c r="I32" s="9" t="s">
        <v>121</v>
      </c>
      <c r="J32" s="9" t="s">
        <v>148</v>
      </c>
      <c r="K32" s="9">
        <v>6</v>
      </c>
      <c r="L32" s="9"/>
      <c r="M32" s="37">
        <v>4000</v>
      </c>
      <c r="N32" s="9">
        <v>690</v>
      </c>
      <c r="O32" s="9" t="s">
        <v>149</v>
      </c>
      <c r="P32" s="11">
        <v>1</v>
      </c>
      <c r="Q32" s="37">
        <v>2704800</v>
      </c>
      <c r="R32" s="37">
        <v>135240</v>
      </c>
      <c r="S32" s="37">
        <v>2569560</v>
      </c>
      <c r="T32" s="9" t="s">
        <v>43</v>
      </c>
      <c r="U32" s="17">
        <f>4746000+185000</f>
        <v>4931000</v>
      </c>
      <c r="V32" s="17">
        <f t="shared" si="0"/>
        <v>27048</v>
      </c>
      <c r="W32" s="17">
        <f t="shared" si="1"/>
        <v>108192</v>
      </c>
    </row>
    <row r="33" spans="1:32" ht="51" customHeight="1" thickBot="1">
      <c r="A33" s="9">
        <v>19</v>
      </c>
      <c r="B33" s="10" t="s">
        <v>150</v>
      </c>
      <c r="C33" s="12" t="s">
        <v>151</v>
      </c>
      <c r="D33" s="9" t="s">
        <v>62</v>
      </c>
      <c r="E33" s="9" t="s">
        <v>152</v>
      </c>
      <c r="F33" s="9" t="s">
        <v>37</v>
      </c>
      <c r="G33" s="9" t="s">
        <v>153</v>
      </c>
      <c r="H33" s="12" t="s">
        <v>154</v>
      </c>
      <c r="I33" s="9" t="s">
        <v>40</v>
      </c>
      <c r="J33" s="9" t="s">
        <v>148</v>
      </c>
      <c r="K33" s="9">
        <v>6</v>
      </c>
      <c r="L33" s="9"/>
      <c r="M33" s="37">
        <v>4000</v>
      </c>
      <c r="N33" s="9">
        <v>690</v>
      </c>
      <c r="O33" s="9" t="s">
        <v>149</v>
      </c>
      <c r="P33" s="11">
        <v>1</v>
      </c>
      <c r="Q33" s="37">
        <v>2760000</v>
      </c>
      <c r="R33" s="37">
        <v>138000</v>
      </c>
      <c r="S33" s="37">
        <v>2622000</v>
      </c>
      <c r="T33" s="9" t="s">
        <v>43</v>
      </c>
      <c r="U33" s="17">
        <f>4062252+185000</f>
        <v>4247252</v>
      </c>
      <c r="V33" s="17">
        <f t="shared" si="0"/>
        <v>27600</v>
      </c>
      <c r="W33" s="17">
        <f t="shared" si="1"/>
        <v>110400</v>
      </c>
    </row>
    <row r="34" spans="1:32" ht="51" customHeight="1" thickBot="1">
      <c r="A34" s="9">
        <v>20</v>
      </c>
      <c r="B34" s="10" t="s">
        <v>155</v>
      </c>
      <c r="C34" s="12" t="s">
        <v>156</v>
      </c>
      <c r="D34" s="9" t="s">
        <v>62</v>
      </c>
      <c r="E34" s="9" t="s">
        <v>157</v>
      </c>
      <c r="F34" s="9" t="s">
        <v>37</v>
      </c>
      <c r="G34" s="9" t="s">
        <v>158</v>
      </c>
      <c r="H34" s="12" t="s">
        <v>159</v>
      </c>
      <c r="I34" s="9" t="s">
        <v>40</v>
      </c>
      <c r="J34" s="9" t="s">
        <v>131</v>
      </c>
      <c r="K34" s="9">
        <v>7</v>
      </c>
      <c r="L34" s="9"/>
      <c r="M34" s="37">
        <v>4000</v>
      </c>
      <c r="N34" s="9">
        <v>890</v>
      </c>
      <c r="O34" s="9" t="s">
        <v>132</v>
      </c>
      <c r="P34" s="11">
        <v>1</v>
      </c>
      <c r="Q34" s="37">
        <v>3560000</v>
      </c>
      <c r="R34" s="37">
        <v>178000</v>
      </c>
      <c r="S34" s="37">
        <v>3382000</v>
      </c>
      <c r="T34" s="9" t="s">
        <v>43</v>
      </c>
      <c r="U34" s="17">
        <f>3941400+185000</f>
        <v>4126400</v>
      </c>
      <c r="V34" s="17">
        <f t="shared" si="0"/>
        <v>35600</v>
      </c>
      <c r="W34" s="17">
        <f t="shared" si="1"/>
        <v>142400</v>
      </c>
    </row>
    <row r="35" spans="1:32" ht="51" customHeight="1" thickBot="1">
      <c r="A35" s="9">
        <v>21</v>
      </c>
      <c r="B35" s="10" t="s">
        <v>160</v>
      </c>
      <c r="C35" s="12" t="s">
        <v>161</v>
      </c>
      <c r="D35" s="9" t="s">
        <v>106</v>
      </c>
      <c r="E35" s="9" t="s">
        <v>162</v>
      </c>
      <c r="F35" s="9" t="s">
        <v>37</v>
      </c>
      <c r="G35" s="9" t="s">
        <v>163</v>
      </c>
      <c r="H35" s="12" t="s">
        <v>147</v>
      </c>
      <c r="I35" s="9" t="s">
        <v>40</v>
      </c>
      <c r="J35" s="9" t="s">
        <v>148</v>
      </c>
      <c r="K35" s="9">
        <v>6</v>
      </c>
      <c r="L35" s="9"/>
      <c r="M35" s="37">
        <v>4000</v>
      </c>
      <c r="N35" s="9">
        <v>690</v>
      </c>
      <c r="O35" s="9" t="s">
        <v>149</v>
      </c>
      <c r="P35" s="11">
        <v>1</v>
      </c>
      <c r="Q35" s="37">
        <v>2760000</v>
      </c>
      <c r="R35" s="37">
        <v>138000</v>
      </c>
      <c r="S35" s="37">
        <v>2622000</v>
      </c>
      <c r="T35" s="9" t="s">
        <v>43</v>
      </c>
      <c r="U35" s="17">
        <f>3821000+185000</f>
        <v>4006000</v>
      </c>
      <c r="V35" s="17">
        <f t="shared" si="0"/>
        <v>27600</v>
      </c>
      <c r="W35" s="17">
        <f t="shared" si="1"/>
        <v>110400</v>
      </c>
    </row>
    <row r="36" spans="1:32" s="23" customFormat="1" ht="51" customHeight="1" thickBot="1">
      <c r="A36" s="24">
        <v>22</v>
      </c>
      <c r="B36" s="25" t="s">
        <v>164</v>
      </c>
      <c r="C36" s="26" t="s">
        <v>165</v>
      </c>
      <c r="D36" s="24" t="s">
        <v>111</v>
      </c>
      <c r="E36" s="24" t="s">
        <v>166</v>
      </c>
      <c r="F36" s="24" t="s">
        <v>37</v>
      </c>
      <c r="G36" s="24" t="s">
        <v>167</v>
      </c>
      <c r="H36" s="26" t="s">
        <v>168</v>
      </c>
      <c r="I36" s="24" t="s">
        <v>40</v>
      </c>
      <c r="J36" s="24" t="s">
        <v>169</v>
      </c>
      <c r="K36" s="24">
        <v>5</v>
      </c>
      <c r="L36" s="24"/>
      <c r="M36" s="38">
        <v>4000</v>
      </c>
      <c r="N36" s="24">
        <v>490</v>
      </c>
      <c r="O36" s="24" t="s">
        <v>170</v>
      </c>
      <c r="P36" s="27">
        <v>1</v>
      </c>
      <c r="Q36" s="38">
        <v>1960000</v>
      </c>
      <c r="R36" s="38">
        <v>98000</v>
      </c>
      <c r="S36" s="38">
        <v>1862000</v>
      </c>
      <c r="T36" s="24" t="s">
        <v>43</v>
      </c>
      <c r="U36" s="17">
        <f>4368560+185000</f>
        <v>4553560</v>
      </c>
      <c r="V36" s="17">
        <f t="shared" si="0"/>
        <v>19600</v>
      </c>
      <c r="W36" s="17">
        <f>IF($U36&gt;12000000,0,IF($Q36+$U36&gt;12000000,ROUND((12000000-$U36)*4%,0),ROUND($Q36*4%,0)))</f>
        <v>78400</v>
      </c>
      <c r="X36" s="28"/>
      <c r="Y36" s="28"/>
      <c r="Z36" s="28"/>
      <c r="AA36" s="28"/>
      <c r="AB36" s="28"/>
      <c r="AC36" s="28"/>
      <c r="AD36" s="28"/>
      <c r="AE36" s="28"/>
      <c r="AF36" s="28"/>
    </row>
    <row r="37" spans="1:32" s="23" customFormat="1" ht="51" customHeight="1" thickBot="1">
      <c r="A37" s="24">
        <v>23</v>
      </c>
      <c r="B37" s="25" t="s">
        <v>171</v>
      </c>
      <c r="C37" s="26" t="s">
        <v>172</v>
      </c>
      <c r="D37" s="24" t="s">
        <v>111</v>
      </c>
      <c r="E37" s="24" t="s">
        <v>173</v>
      </c>
      <c r="F37" s="24" t="s">
        <v>37</v>
      </c>
      <c r="G37" s="24" t="s">
        <v>174</v>
      </c>
      <c r="H37" s="26" t="s">
        <v>175</v>
      </c>
      <c r="I37" s="24" t="s">
        <v>40</v>
      </c>
      <c r="J37" s="24" t="s">
        <v>131</v>
      </c>
      <c r="K37" s="24">
        <v>7</v>
      </c>
      <c r="L37" s="24"/>
      <c r="M37" s="38">
        <v>4000</v>
      </c>
      <c r="N37" s="24">
        <v>890</v>
      </c>
      <c r="O37" s="24" t="s">
        <v>132</v>
      </c>
      <c r="P37" s="27">
        <v>1</v>
      </c>
      <c r="Q37" s="38">
        <v>3560000</v>
      </c>
      <c r="R37" s="38">
        <v>178000</v>
      </c>
      <c r="S37" s="38">
        <v>3382000</v>
      </c>
      <c r="T37" s="24" t="s">
        <v>43</v>
      </c>
      <c r="U37" s="17">
        <f>4266108+185000</f>
        <v>4451108</v>
      </c>
      <c r="V37" s="17">
        <f t="shared" si="0"/>
        <v>35600</v>
      </c>
      <c r="W37" s="17">
        <f>IF($U37&gt;12000000,0,IF($Q37+$U37&gt;12000000,ROUND((12000000-$U37)*4%,0),ROUND($Q37*4%,0)))</f>
        <v>142400</v>
      </c>
      <c r="X37" s="28"/>
      <c r="Y37" s="28"/>
      <c r="Z37" s="28"/>
      <c r="AA37" s="28"/>
      <c r="AB37" s="28"/>
      <c r="AC37" s="28"/>
      <c r="AD37" s="28"/>
      <c r="AE37" s="28"/>
      <c r="AF37" s="28"/>
    </row>
    <row r="38" spans="1:32" ht="51" customHeight="1" thickBot="1">
      <c r="A38" s="24">
        <v>24</v>
      </c>
      <c r="B38" s="25" t="s">
        <v>176</v>
      </c>
      <c r="C38" s="26" t="s">
        <v>177</v>
      </c>
      <c r="D38" s="24" t="s">
        <v>111</v>
      </c>
      <c r="E38" s="24" t="s">
        <v>178</v>
      </c>
      <c r="F38" s="24" t="s">
        <v>37</v>
      </c>
      <c r="G38" s="24" t="s">
        <v>179</v>
      </c>
      <c r="H38" s="26" t="s">
        <v>154</v>
      </c>
      <c r="I38" s="24" t="s">
        <v>40</v>
      </c>
      <c r="J38" s="24" t="s">
        <v>148</v>
      </c>
      <c r="K38" s="24">
        <v>6</v>
      </c>
      <c r="L38" s="24"/>
      <c r="M38" s="38">
        <v>4000</v>
      </c>
      <c r="N38" s="24">
        <v>690</v>
      </c>
      <c r="O38" s="24" t="s">
        <v>149</v>
      </c>
      <c r="P38" s="27">
        <v>1</v>
      </c>
      <c r="Q38" s="38">
        <v>2760000</v>
      </c>
      <c r="R38" s="38">
        <v>138000</v>
      </c>
      <c r="S38" s="38">
        <v>2622000</v>
      </c>
      <c r="T38" s="24" t="s">
        <v>43</v>
      </c>
      <c r="U38" s="17">
        <f>3653358+185000</f>
        <v>3838358</v>
      </c>
      <c r="V38" s="17">
        <f t="shared" si="0"/>
        <v>27600</v>
      </c>
      <c r="W38" s="17">
        <f t="shared" si="1"/>
        <v>110400</v>
      </c>
      <c r="X38" s="28"/>
      <c r="Y38" s="28"/>
      <c r="Z38" s="28"/>
      <c r="AA38" s="28"/>
      <c r="AB38" s="28"/>
      <c r="AC38" s="28"/>
      <c r="AD38" s="28"/>
      <c r="AE38" s="28"/>
      <c r="AF38" s="28"/>
    </row>
    <row r="39" spans="1:32" ht="51" customHeight="1" thickBot="1">
      <c r="A39" s="24">
        <v>25</v>
      </c>
      <c r="B39" s="25" t="s">
        <v>180</v>
      </c>
      <c r="C39" s="26" t="s">
        <v>181</v>
      </c>
      <c r="D39" s="24" t="s">
        <v>111</v>
      </c>
      <c r="E39" s="24" t="s">
        <v>182</v>
      </c>
      <c r="F39" s="24" t="s">
        <v>37</v>
      </c>
      <c r="G39" s="24" t="s">
        <v>183</v>
      </c>
      <c r="H39" s="26" t="s">
        <v>168</v>
      </c>
      <c r="I39" s="24" t="s">
        <v>40</v>
      </c>
      <c r="J39" s="24" t="s">
        <v>169</v>
      </c>
      <c r="K39" s="24">
        <v>5</v>
      </c>
      <c r="L39" s="24"/>
      <c r="M39" s="38">
        <v>4000</v>
      </c>
      <c r="N39" s="24">
        <v>490</v>
      </c>
      <c r="O39" s="24" t="s">
        <v>170</v>
      </c>
      <c r="P39" s="27">
        <v>1</v>
      </c>
      <c r="Q39" s="38">
        <v>1960000</v>
      </c>
      <c r="R39" s="38">
        <v>98000</v>
      </c>
      <c r="S39" s="38">
        <v>1862000</v>
      </c>
      <c r="T39" s="24" t="s">
        <v>43</v>
      </c>
      <c r="U39" s="17">
        <f>3887172+185000</f>
        <v>4072172</v>
      </c>
      <c r="V39" s="17">
        <f t="shared" si="0"/>
        <v>19600</v>
      </c>
      <c r="W39" s="17">
        <f t="shared" si="1"/>
        <v>78400</v>
      </c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s="23" customFormat="1" ht="51" customHeight="1" thickBot="1">
      <c r="A40" s="24">
        <v>26</v>
      </c>
      <c r="B40" s="25" t="s">
        <v>184</v>
      </c>
      <c r="C40" s="26" t="s">
        <v>185</v>
      </c>
      <c r="D40" s="24" t="s">
        <v>111</v>
      </c>
      <c r="E40" s="24" t="s">
        <v>186</v>
      </c>
      <c r="F40" s="24" t="s">
        <v>37</v>
      </c>
      <c r="G40" s="24" t="s">
        <v>187</v>
      </c>
      <c r="H40" s="26" t="s">
        <v>188</v>
      </c>
      <c r="I40" s="24" t="s">
        <v>189</v>
      </c>
      <c r="J40" s="24" t="s">
        <v>169</v>
      </c>
      <c r="K40" s="24">
        <v>5</v>
      </c>
      <c r="L40" s="24"/>
      <c r="M40" s="38">
        <v>4000</v>
      </c>
      <c r="N40" s="24">
        <v>490</v>
      </c>
      <c r="O40" s="24" t="s">
        <v>170</v>
      </c>
      <c r="P40" s="27">
        <v>1</v>
      </c>
      <c r="Q40" s="38">
        <v>1955100</v>
      </c>
      <c r="R40" s="38">
        <v>97755</v>
      </c>
      <c r="S40" s="38">
        <v>1857345</v>
      </c>
      <c r="T40" s="24" t="s">
        <v>43</v>
      </c>
      <c r="U40" s="17">
        <f>3980480+185000</f>
        <v>4165480</v>
      </c>
      <c r="V40" s="17">
        <f t="shared" si="0"/>
        <v>19551</v>
      </c>
      <c r="W40" s="17">
        <f>IF($U40&gt;12000000,0,IF($Q40+$U40&gt;12000000,ROUND((12000000-$U40)*4%,0),ROUND($Q40*4%,0)))</f>
        <v>78204</v>
      </c>
      <c r="X40" s="28"/>
      <c r="Y40" s="28"/>
      <c r="Z40" s="28"/>
      <c r="AA40" s="28"/>
      <c r="AB40" s="28"/>
      <c r="AC40" s="28"/>
      <c r="AD40" s="28"/>
      <c r="AE40" s="28"/>
      <c r="AF40" s="28"/>
    </row>
    <row r="41" spans="1:32" ht="51" customHeight="1" thickBot="1">
      <c r="A41" s="9">
        <v>27</v>
      </c>
      <c r="B41" s="10" t="s">
        <v>190</v>
      </c>
      <c r="C41" s="12" t="s">
        <v>191</v>
      </c>
      <c r="D41" s="9" t="s">
        <v>111</v>
      </c>
      <c r="E41" s="9" t="s">
        <v>192</v>
      </c>
      <c r="F41" s="9" t="s">
        <v>37</v>
      </c>
      <c r="G41" s="9" t="s">
        <v>193</v>
      </c>
      <c r="H41" s="12" t="s">
        <v>168</v>
      </c>
      <c r="I41" s="9" t="s">
        <v>194</v>
      </c>
      <c r="J41" s="9" t="s">
        <v>169</v>
      </c>
      <c r="K41" s="9">
        <v>5</v>
      </c>
      <c r="L41" s="9"/>
      <c r="M41" s="37">
        <v>4000</v>
      </c>
      <c r="N41" s="9">
        <v>490</v>
      </c>
      <c r="O41" s="9" t="s">
        <v>170</v>
      </c>
      <c r="P41" s="11">
        <v>1</v>
      </c>
      <c r="Q41" s="37">
        <v>1896300</v>
      </c>
      <c r="R41" s="37">
        <v>94815</v>
      </c>
      <c r="S41" s="37">
        <v>1801485</v>
      </c>
      <c r="T41" s="9" t="s">
        <v>43</v>
      </c>
      <c r="U41" s="17">
        <f>3204700+185000</f>
        <v>3389700</v>
      </c>
      <c r="V41" s="17">
        <f t="shared" si="0"/>
        <v>18963</v>
      </c>
      <c r="W41" s="17">
        <f t="shared" si="1"/>
        <v>75852</v>
      </c>
    </row>
    <row r="42" spans="1:32" ht="51" customHeight="1" thickBot="1">
      <c r="A42" s="9">
        <v>28</v>
      </c>
      <c r="B42" s="10" t="s">
        <v>195</v>
      </c>
      <c r="C42" s="12" t="s">
        <v>196</v>
      </c>
      <c r="D42" s="9" t="s">
        <v>197</v>
      </c>
      <c r="E42" s="9" t="s">
        <v>198</v>
      </c>
      <c r="F42" s="9" t="s">
        <v>37</v>
      </c>
      <c r="G42" s="9" t="s">
        <v>199</v>
      </c>
      <c r="H42" s="12" t="s">
        <v>154</v>
      </c>
      <c r="I42" s="9" t="s">
        <v>40</v>
      </c>
      <c r="J42" s="9" t="s">
        <v>148</v>
      </c>
      <c r="K42" s="9">
        <v>6</v>
      </c>
      <c r="L42" s="9"/>
      <c r="M42" s="37">
        <v>4000</v>
      </c>
      <c r="N42" s="9">
        <v>690</v>
      </c>
      <c r="O42" s="9" t="s">
        <v>149</v>
      </c>
      <c r="P42" s="11">
        <v>1</v>
      </c>
      <c r="Q42" s="37">
        <v>2760000</v>
      </c>
      <c r="R42" s="37">
        <v>138000</v>
      </c>
      <c r="S42" s="37">
        <v>2622000</v>
      </c>
      <c r="T42" s="9" t="s">
        <v>43</v>
      </c>
      <c r="U42" s="17">
        <f>3729396+180000</f>
        <v>3909396</v>
      </c>
      <c r="V42" s="17">
        <f t="shared" si="0"/>
        <v>27600</v>
      </c>
      <c r="W42" s="17">
        <f t="shared" si="1"/>
        <v>110400</v>
      </c>
    </row>
    <row r="43" spans="1:32" ht="51" customHeight="1" thickBot="1">
      <c r="A43" s="9">
        <v>29</v>
      </c>
      <c r="B43" s="10" t="s">
        <v>200</v>
      </c>
      <c r="C43" s="12" t="s">
        <v>201</v>
      </c>
      <c r="D43" s="9" t="s">
        <v>197</v>
      </c>
      <c r="E43" s="9" t="s">
        <v>202</v>
      </c>
      <c r="F43" s="9" t="s">
        <v>37</v>
      </c>
      <c r="G43" s="9" t="s">
        <v>203</v>
      </c>
      <c r="H43" s="12" t="s">
        <v>129</v>
      </c>
      <c r="I43" s="9" t="s">
        <v>40</v>
      </c>
      <c r="J43" s="9" t="s">
        <v>131</v>
      </c>
      <c r="K43" s="9">
        <v>7</v>
      </c>
      <c r="L43" s="9"/>
      <c r="M43" s="37">
        <v>4000</v>
      </c>
      <c r="N43" s="9">
        <v>890</v>
      </c>
      <c r="O43" s="9" t="s">
        <v>132</v>
      </c>
      <c r="P43" s="11">
        <v>1</v>
      </c>
      <c r="Q43" s="37">
        <v>3560000</v>
      </c>
      <c r="R43" s="37">
        <v>178000</v>
      </c>
      <c r="S43" s="37">
        <v>3382000</v>
      </c>
      <c r="T43" s="9" t="s">
        <v>43</v>
      </c>
      <c r="U43" s="17">
        <f>2716000+180000</f>
        <v>2896000</v>
      </c>
      <c r="V43" s="17">
        <f t="shared" si="0"/>
        <v>35600</v>
      </c>
      <c r="W43" s="17">
        <f t="shared" si="1"/>
        <v>142400</v>
      </c>
    </row>
    <row r="44" spans="1:32" ht="51" customHeight="1" thickBot="1">
      <c r="A44" s="9">
        <v>30</v>
      </c>
      <c r="B44" s="10" t="s">
        <v>204</v>
      </c>
      <c r="C44" s="12" t="s">
        <v>205</v>
      </c>
      <c r="D44" s="9" t="s">
        <v>197</v>
      </c>
      <c r="E44" s="9" t="s">
        <v>206</v>
      </c>
      <c r="F44" s="9" t="s">
        <v>37</v>
      </c>
      <c r="G44" s="9" t="s">
        <v>207</v>
      </c>
      <c r="H44" s="12" t="s">
        <v>154</v>
      </c>
      <c r="I44" s="9" t="s">
        <v>189</v>
      </c>
      <c r="J44" s="9" t="s">
        <v>148</v>
      </c>
      <c r="K44" s="9">
        <v>6</v>
      </c>
      <c r="L44" s="9"/>
      <c r="M44" s="37">
        <v>4000</v>
      </c>
      <c r="N44" s="9">
        <v>690</v>
      </c>
      <c r="O44" s="9" t="s">
        <v>149</v>
      </c>
      <c r="P44" s="11">
        <v>1</v>
      </c>
      <c r="Q44" s="37">
        <v>2753100</v>
      </c>
      <c r="R44" s="37">
        <v>137655</v>
      </c>
      <c r="S44" s="37">
        <v>2615445</v>
      </c>
      <c r="T44" s="9" t="s">
        <v>43</v>
      </c>
      <c r="U44" s="17">
        <f>2579400+185000</f>
        <v>2764400</v>
      </c>
      <c r="V44" s="17">
        <f t="shared" si="0"/>
        <v>27531</v>
      </c>
      <c r="W44" s="17">
        <f t="shared" si="1"/>
        <v>110124</v>
      </c>
    </row>
    <row r="45" spans="1:32" ht="51" customHeight="1" thickBot="1">
      <c r="A45" s="9">
        <v>31</v>
      </c>
      <c r="B45" s="10" t="s">
        <v>208</v>
      </c>
      <c r="C45" s="12" t="s">
        <v>209</v>
      </c>
      <c r="D45" s="9" t="s">
        <v>197</v>
      </c>
      <c r="E45" s="9" t="s">
        <v>210</v>
      </c>
      <c r="F45" s="9" t="s">
        <v>37</v>
      </c>
      <c r="G45" s="9" t="s">
        <v>211</v>
      </c>
      <c r="H45" s="12" t="s">
        <v>212</v>
      </c>
      <c r="I45" s="9" t="s">
        <v>103</v>
      </c>
      <c r="J45" s="9" t="s">
        <v>148</v>
      </c>
      <c r="K45" s="9">
        <v>6</v>
      </c>
      <c r="L45" s="9"/>
      <c r="M45" s="37">
        <v>4000</v>
      </c>
      <c r="N45" s="9">
        <v>690</v>
      </c>
      <c r="O45" s="9" t="s">
        <v>149</v>
      </c>
      <c r="P45" s="11">
        <v>1</v>
      </c>
      <c r="Q45" s="37">
        <v>2739300</v>
      </c>
      <c r="R45" s="37">
        <v>136965</v>
      </c>
      <c r="S45" s="37">
        <v>2602335</v>
      </c>
      <c r="T45" s="9" t="s">
        <v>43</v>
      </c>
      <c r="U45" s="17">
        <f>2579400+185000</f>
        <v>2764400</v>
      </c>
      <c r="V45" s="17">
        <f t="shared" si="0"/>
        <v>27393</v>
      </c>
      <c r="W45" s="17">
        <f t="shared" si="1"/>
        <v>109572</v>
      </c>
    </row>
    <row r="46" spans="1:32" ht="51" customHeight="1" thickBot="1">
      <c r="A46" s="9">
        <v>32</v>
      </c>
      <c r="B46" s="10" t="s">
        <v>213</v>
      </c>
      <c r="C46" s="12" t="s">
        <v>214</v>
      </c>
      <c r="D46" s="9" t="s">
        <v>215</v>
      </c>
      <c r="E46" s="9" t="s">
        <v>216</v>
      </c>
      <c r="F46" s="9" t="s">
        <v>37</v>
      </c>
      <c r="G46" s="9" t="s">
        <v>217</v>
      </c>
      <c r="H46" s="12" t="s">
        <v>218</v>
      </c>
      <c r="I46" s="9" t="s">
        <v>40</v>
      </c>
      <c r="J46" s="9" t="s">
        <v>148</v>
      </c>
      <c r="K46" s="9">
        <v>6</v>
      </c>
      <c r="L46" s="9"/>
      <c r="M46" s="37">
        <v>4000</v>
      </c>
      <c r="N46" s="9">
        <v>690</v>
      </c>
      <c r="O46" s="9" t="s">
        <v>149</v>
      </c>
      <c r="P46" s="11">
        <v>1</v>
      </c>
      <c r="Q46" s="37">
        <v>2760000</v>
      </c>
      <c r="R46" s="37">
        <v>0</v>
      </c>
      <c r="S46" s="37">
        <v>2760000</v>
      </c>
      <c r="T46" s="9" t="s">
        <v>43</v>
      </c>
      <c r="U46" s="17">
        <f>3729396+180000</f>
        <v>3909396</v>
      </c>
      <c r="V46" s="17">
        <f t="shared" si="0"/>
        <v>27600</v>
      </c>
      <c r="W46" s="17">
        <f t="shared" si="1"/>
        <v>110400</v>
      </c>
    </row>
    <row r="47" spans="1:32" ht="51" customHeight="1" thickBot="1">
      <c r="A47" s="9">
        <v>33</v>
      </c>
      <c r="B47" s="10" t="s">
        <v>219</v>
      </c>
      <c r="C47" s="12" t="s">
        <v>220</v>
      </c>
      <c r="D47" s="9" t="s">
        <v>215</v>
      </c>
      <c r="E47" s="9" t="s">
        <v>221</v>
      </c>
      <c r="F47" s="9" t="s">
        <v>37</v>
      </c>
      <c r="G47" s="9" t="s">
        <v>222</v>
      </c>
      <c r="H47" s="12" t="s">
        <v>168</v>
      </c>
      <c r="I47" s="9" t="s">
        <v>40</v>
      </c>
      <c r="J47" s="9" t="s">
        <v>169</v>
      </c>
      <c r="K47" s="9">
        <v>5</v>
      </c>
      <c r="L47" s="9"/>
      <c r="M47" s="37">
        <v>4000</v>
      </c>
      <c r="N47" s="9">
        <v>490</v>
      </c>
      <c r="O47" s="9" t="s">
        <v>170</v>
      </c>
      <c r="P47" s="11">
        <v>1</v>
      </c>
      <c r="Q47" s="37">
        <v>1960000</v>
      </c>
      <c r="R47" s="37">
        <v>0</v>
      </c>
      <c r="S47" s="37">
        <v>1960000</v>
      </c>
      <c r="T47" s="9" t="s">
        <v>43</v>
      </c>
      <c r="U47" s="17">
        <f>3336828+180000</f>
        <v>3516828</v>
      </c>
      <c r="V47" s="17">
        <f t="shared" si="0"/>
        <v>19600</v>
      </c>
      <c r="W47" s="17">
        <f t="shared" si="1"/>
        <v>78400</v>
      </c>
    </row>
    <row r="48" spans="1:32" ht="51" customHeight="1" thickBot="1">
      <c r="A48" s="9">
        <v>34</v>
      </c>
      <c r="B48" s="10" t="s">
        <v>223</v>
      </c>
      <c r="C48" s="12" t="s">
        <v>224</v>
      </c>
      <c r="D48" s="9" t="s">
        <v>215</v>
      </c>
      <c r="E48" s="9" t="s">
        <v>225</v>
      </c>
      <c r="F48" s="9" t="s">
        <v>37</v>
      </c>
      <c r="G48" s="9" t="s">
        <v>226</v>
      </c>
      <c r="H48" s="12" t="s">
        <v>168</v>
      </c>
      <c r="I48" s="9" t="s">
        <v>40</v>
      </c>
      <c r="J48" s="9" t="s">
        <v>169</v>
      </c>
      <c r="K48" s="9">
        <v>5</v>
      </c>
      <c r="L48" s="9"/>
      <c r="M48" s="37">
        <v>4000</v>
      </c>
      <c r="N48" s="9">
        <v>490</v>
      </c>
      <c r="O48" s="9" t="s">
        <v>170</v>
      </c>
      <c r="P48" s="11">
        <v>1</v>
      </c>
      <c r="Q48" s="37">
        <v>1960000</v>
      </c>
      <c r="R48" s="37">
        <v>0</v>
      </c>
      <c r="S48" s="37">
        <v>1960000</v>
      </c>
      <c r="T48" s="9" t="s">
        <v>43</v>
      </c>
      <c r="U48" s="17">
        <f>3505158+180000</f>
        <v>3685158</v>
      </c>
      <c r="V48" s="17">
        <f t="shared" si="0"/>
        <v>19600</v>
      </c>
      <c r="W48" s="17">
        <f t="shared" si="1"/>
        <v>78400</v>
      </c>
    </row>
    <row r="49" spans="1:23" ht="51" customHeight="1" thickBot="1">
      <c r="A49" s="9">
        <v>35</v>
      </c>
      <c r="B49" s="10" t="s">
        <v>227</v>
      </c>
      <c r="C49" s="12" t="s">
        <v>228</v>
      </c>
      <c r="D49" s="9" t="s">
        <v>215</v>
      </c>
      <c r="E49" s="9" t="s">
        <v>229</v>
      </c>
      <c r="F49" s="9" t="s">
        <v>37</v>
      </c>
      <c r="G49" s="9" t="s">
        <v>230</v>
      </c>
      <c r="H49" s="12" t="s">
        <v>168</v>
      </c>
      <c r="I49" s="9" t="s">
        <v>40</v>
      </c>
      <c r="J49" s="9" t="s">
        <v>169</v>
      </c>
      <c r="K49" s="9">
        <v>5</v>
      </c>
      <c r="L49" s="9"/>
      <c r="M49" s="37">
        <v>4000</v>
      </c>
      <c r="N49" s="9">
        <v>490</v>
      </c>
      <c r="O49" s="9" t="s">
        <v>170</v>
      </c>
      <c r="P49" s="11">
        <v>1</v>
      </c>
      <c r="Q49" s="37">
        <v>1960000</v>
      </c>
      <c r="R49" s="37">
        <v>0</v>
      </c>
      <c r="S49" s="37">
        <v>1960000</v>
      </c>
      <c r="T49" s="9" t="s">
        <v>43</v>
      </c>
      <c r="U49" s="17">
        <f>3505158+180000</f>
        <v>3685158</v>
      </c>
      <c r="V49" s="17">
        <f t="shared" si="0"/>
        <v>19600</v>
      </c>
      <c r="W49" s="17">
        <f t="shared" si="1"/>
        <v>78400</v>
      </c>
    </row>
    <row r="50" spans="1:23" ht="51" customHeight="1" thickBot="1">
      <c r="A50" s="9">
        <v>36</v>
      </c>
      <c r="B50" s="10" t="s">
        <v>231</v>
      </c>
      <c r="C50" s="12" t="s">
        <v>232</v>
      </c>
      <c r="D50" s="9" t="s">
        <v>233</v>
      </c>
      <c r="E50" s="9" t="s">
        <v>234</v>
      </c>
      <c r="F50" s="9" t="s">
        <v>37</v>
      </c>
      <c r="G50" s="9" t="s">
        <v>235</v>
      </c>
      <c r="H50" s="12" t="s">
        <v>212</v>
      </c>
      <c r="I50" s="9" t="s">
        <v>40</v>
      </c>
      <c r="J50" s="9" t="s">
        <v>148</v>
      </c>
      <c r="K50" s="9">
        <v>6</v>
      </c>
      <c r="L50" s="9"/>
      <c r="M50" s="37">
        <v>4000</v>
      </c>
      <c r="N50" s="9">
        <v>690</v>
      </c>
      <c r="O50" s="9" t="s">
        <v>149</v>
      </c>
      <c r="P50" s="11">
        <v>1</v>
      </c>
      <c r="Q50" s="37">
        <v>2760000</v>
      </c>
      <c r="R50" s="37">
        <v>0</v>
      </c>
      <c r="S50" s="37">
        <v>2760000</v>
      </c>
      <c r="T50" s="9" t="s">
        <v>43</v>
      </c>
      <c r="U50" s="17">
        <f>3407936+180000</f>
        <v>3587936</v>
      </c>
      <c r="V50" s="17">
        <f t="shared" si="0"/>
        <v>27600</v>
      </c>
      <c r="W50" s="17">
        <f t="shared" si="1"/>
        <v>110400</v>
      </c>
    </row>
    <row r="51" spans="1:23" ht="51" customHeight="1" thickBot="1">
      <c r="A51" s="9">
        <v>37</v>
      </c>
      <c r="B51" s="10" t="s">
        <v>236</v>
      </c>
      <c r="C51" s="12" t="s">
        <v>237</v>
      </c>
      <c r="D51" s="9" t="s">
        <v>233</v>
      </c>
      <c r="E51" s="9" t="s">
        <v>238</v>
      </c>
      <c r="F51" s="9" t="s">
        <v>37</v>
      </c>
      <c r="G51" s="9" t="s">
        <v>239</v>
      </c>
      <c r="H51" s="12" t="s">
        <v>188</v>
      </c>
      <c r="I51" s="9" t="s">
        <v>40</v>
      </c>
      <c r="J51" s="9" t="s">
        <v>169</v>
      </c>
      <c r="K51" s="9">
        <v>5</v>
      </c>
      <c r="L51" s="9"/>
      <c r="M51" s="37">
        <v>4000</v>
      </c>
      <c r="N51" s="9">
        <v>490</v>
      </c>
      <c r="O51" s="9" t="s">
        <v>170</v>
      </c>
      <c r="P51" s="11">
        <v>1</v>
      </c>
      <c r="Q51" s="37">
        <v>1960000</v>
      </c>
      <c r="R51" s="37">
        <v>0</v>
      </c>
      <c r="S51" s="37">
        <v>1960000</v>
      </c>
      <c r="T51" s="9" t="s">
        <v>43</v>
      </c>
      <c r="U51" s="17">
        <f>2631664+180000</f>
        <v>2811664</v>
      </c>
      <c r="V51" s="17">
        <f t="shared" si="0"/>
        <v>19600</v>
      </c>
      <c r="W51" s="17">
        <f t="shared" si="1"/>
        <v>78400</v>
      </c>
    </row>
    <row r="52" spans="1:23" ht="51" customHeight="1" thickBot="1">
      <c r="A52" s="9">
        <v>38</v>
      </c>
      <c r="B52" s="10" t="s">
        <v>240</v>
      </c>
      <c r="C52" s="12" t="s">
        <v>241</v>
      </c>
      <c r="D52" s="9" t="s">
        <v>242</v>
      </c>
      <c r="E52" s="9" t="s">
        <v>243</v>
      </c>
      <c r="F52" s="9" t="s">
        <v>37</v>
      </c>
      <c r="G52" s="9" t="s">
        <v>244</v>
      </c>
      <c r="H52" s="12" t="s">
        <v>154</v>
      </c>
      <c r="I52" s="9" t="s">
        <v>245</v>
      </c>
      <c r="J52" s="9" t="s">
        <v>148</v>
      </c>
      <c r="K52" s="9">
        <v>6</v>
      </c>
      <c r="L52" s="9"/>
      <c r="M52" s="37">
        <v>4000</v>
      </c>
      <c r="N52" s="9">
        <v>690</v>
      </c>
      <c r="O52" s="9" t="s">
        <v>149</v>
      </c>
      <c r="P52" s="11">
        <v>1</v>
      </c>
      <c r="Q52" s="37">
        <v>2622000</v>
      </c>
      <c r="R52" s="37">
        <v>0</v>
      </c>
      <c r="S52" s="37">
        <v>2622000</v>
      </c>
      <c r="T52" s="9" t="s">
        <v>43</v>
      </c>
      <c r="U52" s="17">
        <f>2743800+180000</f>
        <v>2923800</v>
      </c>
      <c r="V52" s="17">
        <f t="shared" si="0"/>
        <v>26220</v>
      </c>
      <c r="W52" s="17">
        <f t="shared" si="1"/>
        <v>104880</v>
      </c>
    </row>
    <row r="53" spans="1:23" ht="51" customHeight="1" thickBot="1">
      <c r="A53" s="9">
        <v>39</v>
      </c>
      <c r="B53" s="10" t="s">
        <v>246</v>
      </c>
      <c r="C53" s="12" t="s">
        <v>247</v>
      </c>
      <c r="D53" s="9" t="s">
        <v>242</v>
      </c>
      <c r="E53" s="9" t="s">
        <v>248</v>
      </c>
      <c r="F53" s="9" t="s">
        <v>37</v>
      </c>
      <c r="G53" s="9" t="s">
        <v>249</v>
      </c>
      <c r="H53" s="12" t="s">
        <v>168</v>
      </c>
      <c r="I53" s="9" t="s">
        <v>40</v>
      </c>
      <c r="J53" s="9" t="s">
        <v>169</v>
      </c>
      <c r="K53" s="9">
        <v>5</v>
      </c>
      <c r="L53" s="9"/>
      <c r="M53" s="37">
        <v>4000</v>
      </c>
      <c r="N53" s="9">
        <v>490</v>
      </c>
      <c r="O53" s="9" t="s">
        <v>170</v>
      </c>
      <c r="P53" s="11">
        <v>1</v>
      </c>
      <c r="Q53" s="37">
        <v>1960000</v>
      </c>
      <c r="R53" s="37">
        <v>0</v>
      </c>
      <c r="S53" s="37">
        <v>1960000</v>
      </c>
      <c r="T53" s="9" t="s">
        <v>43</v>
      </c>
      <c r="U53" s="17">
        <f>3018180+180000</f>
        <v>3198180</v>
      </c>
      <c r="V53" s="17">
        <f t="shared" si="0"/>
        <v>19600</v>
      </c>
      <c r="W53" s="17">
        <f t="shared" si="1"/>
        <v>78400</v>
      </c>
    </row>
    <row r="54" spans="1:23" ht="42" customHeight="1" thickBot="1">
      <c r="A54" s="30" t="s">
        <v>250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2"/>
      <c r="Q54" s="13">
        <v>166206400</v>
      </c>
      <c r="R54" s="13">
        <v>12443550</v>
      </c>
      <c r="S54" s="13">
        <v>153762850</v>
      </c>
      <c r="T54" s="9"/>
      <c r="U54" s="18">
        <f>SUM(U15:U53)</f>
        <v>171576222</v>
      </c>
      <c r="V54" s="19">
        <f>SUM(V15:V53)</f>
        <v>1475023</v>
      </c>
      <c r="W54" s="20">
        <f>SUM(W15:W53)</f>
        <v>5900091</v>
      </c>
    </row>
    <row r="55" spans="1:23" ht="1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V55" s="22"/>
      <c r="W55" s="22"/>
    </row>
    <row r="56" spans="1:23" ht="1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8" spans="1:23" ht="15">
      <c r="C58" s="2" t="s">
        <v>256</v>
      </c>
      <c r="S58" s="2"/>
      <c r="V58" s="2" t="s">
        <v>251</v>
      </c>
    </row>
    <row r="59" spans="1:23" ht="15">
      <c r="C59" s="2" t="s">
        <v>257</v>
      </c>
      <c r="S59" s="2"/>
      <c r="V59" s="2" t="s">
        <v>252</v>
      </c>
    </row>
    <row r="60" spans="1:23" ht="15">
      <c r="C60" s="4"/>
      <c r="S60" s="2"/>
      <c r="V60" s="2"/>
    </row>
    <row r="61" spans="1:23" ht="15">
      <c r="C61" s="4"/>
      <c r="S61" s="2"/>
      <c r="V61" s="2"/>
    </row>
    <row r="62" spans="1:23" ht="15">
      <c r="C62" s="4"/>
      <c r="S62" s="2"/>
      <c r="V62" s="2"/>
    </row>
    <row r="63" spans="1:23" ht="15">
      <c r="C63" s="5"/>
      <c r="S63" s="2"/>
      <c r="V63" s="2"/>
    </row>
    <row r="64" spans="1:23" ht="15.75">
      <c r="C64" s="6" t="s">
        <v>34</v>
      </c>
      <c r="S64" s="3"/>
      <c r="V64" s="3" t="s">
        <v>253</v>
      </c>
    </row>
    <row r="65" spans="3:22" ht="15">
      <c r="C65" s="2" t="s">
        <v>258</v>
      </c>
      <c r="S65" s="2"/>
      <c r="V65" s="2" t="s">
        <v>254</v>
      </c>
    </row>
    <row r="66" spans="3:22" ht="15">
      <c r="C66" s="4" t="s">
        <v>259</v>
      </c>
      <c r="S66" s="2"/>
      <c r="V66" s="2" t="s">
        <v>255</v>
      </c>
    </row>
  </sheetData>
  <mergeCells count="14">
    <mergeCell ref="A1:W1"/>
    <mergeCell ref="A2:W2"/>
    <mergeCell ref="A3:W3"/>
    <mergeCell ref="A4:W4"/>
    <mergeCell ref="A5:W5"/>
    <mergeCell ref="A6:W6"/>
    <mergeCell ref="A54:P54"/>
    <mergeCell ref="A55:T55"/>
    <mergeCell ref="A7:T7"/>
    <mergeCell ref="C8:T8"/>
    <mergeCell ref="C9:T9"/>
    <mergeCell ref="C10:T10"/>
    <mergeCell ref="C11:T11"/>
    <mergeCell ref="C12:T12"/>
  </mergeCells>
  <pageMargins left="0.35433070866141736" right="0.15748031496062992" top="0.19685039370078741" bottom="0.61" header="0.19685039370078741" footer="0.54"/>
  <pageSetup paperSize="39" scale="41" fitToHeight="0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report-tpp-id03769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TPP</dc:title>
  <dc:creator>BKPSDM</dc:creator>
  <cp:lastModifiedBy>Pompy Bachtiar</cp:lastModifiedBy>
  <cp:lastPrinted>2022-06-21T02:12:15Z</cp:lastPrinted>
  <dcterms:created xsi:type="dcterms:W3CDTF">2022-06-20T03:48:52Z</dcterms:created>
  <dcterms:modified xsi:type="dcterms:W3CDTF">2022-06-22T01:03:47Z</dcterms:modified>
</cp:coreProperties>
</file>