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D\Documents\"/>
    </mc:Choice>
  </mc:AlternateContent>
  <bookViews>
    <workbookView xWindow="0" yWindow="0" windowWidth="19200" windowHeight="11535"/>
  </bookViews>
  <sheets>
    <sheet name="report-tpp-id01636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A41" i="2" l="1"/>
  <c r="Z41" i="2"/>
  <c r="AA38" i="2"/>
  <c r="Z38" i="2"/>
  <c r="AA37" i="2"/>
  <c r="Z37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9" i="2"/>
  <c r="Y40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9" i="2"/>
  <c r="X40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16" i="2"/>
  <c r="X55" i="2" s="1"/>
  <c r="V55" i="2"/>
  <c r="W55" i="2"/>
  <c r="Y55" i="2" l="1"/>
  <c r="U54" i="2"/>
  <c r="U52" i="2"/>
  <c r="U51" i="2"/>
  <c r="U50" i="2"/>
  <c r="U36" i="2"/>
  <c r="U33" i="2"/>
  <c r="U27" i="2"/>
  <c r="U21" i="2"/>
  <c r="U19" i="2"/>
  <c r="U18" i="2"/>
  <c r="U17" i="2"/>
  <c r="U16" i="2"/>
  <c r="U53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5" i="2"/>
  <c r="U34" i="2"/>
  <c r="U32" i="2"/>
  <c r="U31" i="2"/>
  <c r="U30" i="2"/>
  <c r="U29" i="2"/>
  <c r="U28" i="2"/>
  <c r="U26" i="2"/>
  <c r="U25" i="2"/>
  <c r="U24" i="2"/>
  <c r="U23" i="2"/>
  <c r="U22" i="2"/>
  <c r="U20" i="2"/>
  <c r="W22" i="2" l="1"/>
  <c r="V22" i="2"/>
  <c r="V24" i="2"/>
  <c r="W24" i="2"/>
  <c r="W26" i="2"/>
  <c r="V26" i="2"/>
  <c r="W29" i="2"/>
  <c r="V29" i="2"/>
  <c r="W31" i="2"/>
  <c r="V31" i="2"/>
  <c r="W34" i="2"/>
  <c r="V34" i="2"/>
  <c r="W37" i="2"/>
  <c r="V37" i="2"/>
  <c r="W39" i="2"/>
  <c r="V39" i="2"/>
  <c r="W41" i="2"/>
  <c r="V41" i="2"/>
  <c r="W43" i="2"/>
  <c r="V43" i="2"/>
  <c r="W45" i="2"/>
  <c r="V45" i="2"/>
  <c r="W47" i="2"/>
  <c r="V47" i="2"/>
  <c r="W49" i="2"/>
  <c r="V49" i="2"/>
  <c r="W16" i="2"/>
  <c r="V16" i="2"/>
  <c r="W18" i="2"/>
  <c r="V18" i="2"/>
  <c r="W21" i="2"/>
  <c r="V21" i="2"/>
  <c r="W33" i="2"/>
  <c r="V33" i="2"/>
  <c r="W50" i="2"/>
  <c r="V50" i="2"/>
  <c r="V52" i="2"/>
  <c r="W52" i="2"/>
  <c r="V20" i="2"/>
  <c r="W20" i="2"/>
  <c r="W23" i="2"/>
  <c r="V23" i="2"/>
  <c r="W25" i="2"/>
  <c r="V25" i="2"/>
  <c r="V28" i="2"/>
  <c r="W28" i="2"/>
  <c r="W30" i="2"/>
  <c r="V30" i="2"/>
  <c r="V32" i="2"/>
  <c r="W32" i="2"/>
  <c r="W35" i="2"/>
  <c r="V35" i="2"/>
  <c r="W38" i="2"/>
  <c r="V38" i="2"/>
  <c r="V40" i="2"/>
  <c r="W40" i="2"/>
  <c r="W42" i="2"/>
  <c r="V42" i="2"/>
  <c r="V44" i="2"/>
  <c r="W44" i="2"/>
  <c r="W46" i="2"/>
  <c r="V46" i="2"/>
  <c r="V48" i="2"/>
  <c r="W48" i="2"/>
  <c r="W53" i="2"/>
  <c r="V53" i="2"/>
  <c r="W17" i="2"/>
  <c r="V17" i="2"/>
  <c r="W19" i="2"/>
  <c r="V19" i="2"/>
  <c r="W27" i="2"/>
  <c r="V27" i="2"/>
  <c r="V36" i="2"/>
  <c r="W36" i="2"/>
  <c r="W51" i="2"/>
  <c r="V51" i="2"/>
  <c r="W54" i="2"/>
  <c r="V54" i="2"/>
  <c r="U55" i="2"/>
  <c r="Z55" i="2" l="1"/>
  <c r="AA55" i="2"/>
</calcChain>
</file>

<file path=xl/sharedStrings.xml><?xml version="1.0" encoding="utf-8"?>
<sst xmlns="http://schemas.openxmlformats.org/spreadsheetml/2006/main" count="408" uniqueCount="251">
  <si>
    <t>ID TPP</t>
  </si>
  <si>
    <t>: 01636</t>
  </si>
  <si>
    <t>Bulan</t>
  </si>
  <si>
    <t>: FEBRUARI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</si>
  <si>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</si>
  <si>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</si>
  <si>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</si>
  <si>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</si>
  <si>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</si>
  <si>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Pebruari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</si>
  <si>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</si>
  <si>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</si>
  <si>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</si>
  <si>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</si>
  <si>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</si>
  <si>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</si>
  <si>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</si>
  <si>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</si>
  <si>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</si>
  <si>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</si>
  <si>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</si>
  <si>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</si>
  <si>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</si>
  <si>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</si>
  <si>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</si>
  <si>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</si>
  <si>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</si>
  <si>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</si>
  <si>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</si>
  <si>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</si>
  <si>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</si>
  <si>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</si>
  <si>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</si>
  <si>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197208311997031004</t>
  </si>
  <si>
    <t>4C</t>
  </si>
  <si>
    <t> 14.070.407.3-643.000</t>
  </si>
  <si>
    <t> 0012098693</t>
  </si>
  <si>
    <t>Analis Rencana Program dan Kegiatan</t>
  </si>
  <si>
    <t>100.00 </t>
  </si>
  <si>
    <t>..............</t>
  </si>
  <si>
    <t>196901021994031008</t>
  </si>
  <si>
    <t>IR. JOESTAMADJI MSI</t>
  </si>
  <si>
    <t>4B</t>
  </si>
  <si>
    <t> 241804525615000</t>
  </si>
  <si>
    <t> 0017705938</t>
  </si>
  <si>
    <t>196903231996021001</t>
  </si>
  <si>
    <t>RACHMAD BASARI SE,MM</t>
  </si>
  <si>
    <t> 07.873.889.5-609.000</t>
  </si>
  <si>
    <t> 0017136259</t>
  </si>
  <si>
    <t>Kepala Badan Kepegawaian dan Pengembangan Sumber Daya Manusia</t>
  </si>
  <si>
    <t>196905101997022001</t>
  </si>
  <si>
    <t>MAMIK SUPARMI S.PD</t>
  </si>
  <si>
    <t>4A</t>
  </si>
  <si>
    <t> 693479826-617000</t>
  </si>
  <si>
    <t> 0017475959</t>
  </si>
  <si>
    <t>Sekretaris</t>
  </si>
  <si>
    <t>197207091998031007</t>
  </si>
  <si>
    <t>HENRY RACHMANTO SH</t>
  </si>
  <si>
    <t> 25.020.238.9-607.000</t>
  </si>
  <si>
    <t> 0017706250</t>
  </si>
  <si>
    <t>Kepala Bidang Pengembangan Kompetensi Pegawai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</si>
  <si>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</si>
  <si>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</si>
  <si>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</si>
  <si>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</si>
  <si>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</si>
  <si>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</si>
  <si>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197309042001121002</t>
  </si>
  <si>
    <t>MOCH.SUMAR HARIYANTO ,ST</t>
  </si>
  <si>
    <t> 57.204.391.7-603.000</t>
  </si>
  <si>
    <t> 0012164262</t>
  </si>
  <si>
    <t>Analis Kepegawaian Ahli Muda</t>
  </si>
  <si>
    <t>197411302001122001</t>
  </si>
  <si>
    <t>DWI RATNA M DEWI, S.Si,MM</t>
  </si>
  <si>
    <t> 07.860.084.8-605.000</t>
  </si>
  <si>
    <t> 0017706934</t>
  </si>
  <si>
    <t>197604042005011012</t>
  </si>
  <si>
    <t>ACHMAD HADI S.KOM</t>
  </si>
  <si>
    <t> 34.255.639.6.619.000</t>
  </si>
  <si>
    <t> 0012039263</t>
  </si>
  <si>
    <t>197710242005012008</t>
  </si>
  <si>
    <t>KEN WAHYUNI SETYANINGSIH ST</t>
  </si>
  <si>
    <t> 25.398.218.5-619.000</t>
  </si>
  <si>
    <t> 0017124811</t>
  </si>
  <si>
    <t>97.75 </t>
  </si>
  <si>
    <t>197806072006042041</t>
  </si>
  <si>
    <t>HISMI HASTA YUNIASIH S.SOS</t>
  </si>
  <si>
    <t> 57.204.421.2-624.000</t>
  </si>
  <si>
    <t> 0017702343</t>
  </si>
  <si>
    <t>198306272009022008</t>
  </si>
  <si>
    <t>ANITA NENCI LIA ST</t>
  </si>
  <si>
    <t> 68.510.044.8-606.000</t>
  </si>
  <si>
    <t> 0017144570</t>
  </si>
  <si>
    <t>Kepala Bidang Pengelolaan Kinerja Pegawai</t>
  </si>
  <si>
    <t>198501152009022006</t>
  </si>
  <si>
    <t>CHRISTINA VANIA SABRINA SE</t>
  </si>
  <si>
    <t> 25.790.611.5-604.000</t>
  </si>
  <si>
    <t> 0017707221</t>
  </si>
  <si>
    <t>Kepala Sub Bagian Keuangan</t>
  </si>
  <si>
    <t>98.00 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</si>
  <si>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</si>
  <si>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</si>
  <si>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</si>
  <si>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</si>
  <si>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</si>
  <si>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</si>
  <si>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</si>
  <si>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</si>
  <si>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</si>
  <si>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</si>
  <si>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83.75 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</si>
  <si>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</si>
  <si>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</si>
  <si>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</si>
  <si>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</si>
  <si>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</si>
  <si>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</si>
  <si>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197005141997031005</t>
  </si>
  <si>
    <t>IFRON HADY SUSANTO, S.SOS.MIR</t>
  </si>
  <si>
    <t> 25.168.505.3-619.000</t>
  </si>
  <si>
    <t> 0012097930</t>
  </si>
  <si>
    <t>Ahli Muda - Widyaiswara</t>
  </si>
  <si>
    <t>196510021993022001</t>
  </si>
  <si>
    <t>PATMIATI SE</t>
  </si>
  <si>
    <t> 57.204.410.5-606.000</t>
  </si>
  <si>
    <t> 0012577799</t>
  </si>
  <si>
    <t>Pranata Kearsipan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</si>
  <si>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</si>
  <si>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</si>
  <si>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</si>
  <si>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</si>
  <si>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</si>
  <si>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</si>
  <si>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</si>
  <si>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57.204.417.0-614.000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</si>
  <si>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</si>
  <si>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</si>
  <si>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</si>
  <si>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</si>
  <si>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</si>
  <si>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</si>
  <si>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</si>
  <si>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</si>
  <si>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</si>
  <si>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</si>
  <si>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</si>
  <si>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95.00 </t>
  </si>
  <si>
    <t>197704211998092001</t>
  </si>
  <si>
    <t>ISTATIK</t>
  </si>
  <si>
    <t> 57.204.400.6-604.000</t>
  </si>
  <si>
    <t> 0017702084</t>
  </si>
  <si>
    <t>Pengadministrasi Pendaftaran Sensor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</si>
  <si>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</si>
  <si>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</si>
  <si>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</si>
  <si>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</si>
  <si>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</si>
  <si>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</si>
  <si>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</si>
  <si>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</si>
  <si>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</si>
  <si>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</si>
  <si>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</si>
  <si>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</si>
  <si>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</si>
  <si>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</si>
  <si>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197906102001122002</t>
  </si>
  <si>
    <t>SULISTYA RAHAYU</t>
  </si>
  <si>
    <t> 57.204.385.9-619.000</t>
  </si>
  <si>
    <t> 0017703374</t>
  </si>
  <si>
    <t>97.50 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</si>
  <si>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</si>
  <si>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</si>
  <si>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</si>
  <si>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</si>
  <si>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</si>
  <si>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</si>
  <si>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</si>
  <si>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</si>
  <si>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</si>
  <si>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</si>
  <si>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</si>
  <si>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</si>
  <si>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</si>
  <si>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</si>
  <si>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</si>
  <si>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</si>
  <si>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</si>
  <si>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</si>
  <si>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</si>
  <si>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</si>
  <si>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</si>
  <si>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</si>
  <si>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</si>
  <si>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</si>
  <si>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</si>
  <si>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</si>
  <si>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</si>
  <si>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</si>
  <si>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</si>
  <si>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</si>
  <si>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</si>
  <si>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</si>
  <si>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</si>
  <si>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</si>
  <si>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</si>
  <si>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</si>
  <si>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</si>
  <si>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</si>
  <si>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</si>
  <si>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</si>
  <si>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</si>
  <si>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</si>
  <si>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</si>
  <si>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</si>
  <si>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</si>
  <si>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</si>
  <si>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</si>
  <si>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</si>
  <si>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</si>
  <si>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99.00 </t>
  </si>
  <si>
    <t>199508182014021001</t>
  </si>
  <si>
    <t>AGUS ARIANTO</t>
  </si>
  <si>
    <t> 66.397.915.1-619.000</t>
  </si>
  <si>
    <t> 0752021333</t>
  </si>
  <si>
    <t>99.75 </t>
  </si>
  <si>
    <t>Jumlah</t>
  </si>
  <si>
    <t>BADAN KEPEGAWAIAN DANPENGEMBANGAN SUMBER DAYA MANUSIA</t>
  </si>
  <si>
    <t>BULAN : PEBRUARI  2022</t>
  </si>
  <si>
    <t xml:space="preserve">BERDASARKAN KEPUTUSAN WALIKOTA SURABAYA NOMOR : 188.45/23/436.1.2/2022 TANGGAL 14 JANUARI 2022 TENTANG  TAMBAHAN PENGHASILAN </t>
  </si>
  <si>
    <t>BAGI PEGAWAI APARATUR SIPIL NEGARA DI LINGKUNGAN PEMERINTAH KOTA SURABAYA</t>
  </si>
  <si>
    <t>DAFTAR PENERIMAAN UANG BEBAN KERJA PNS</t>
  </si>
  <si>
    <t>KODE REKENING :  5.1.01.02.01.0001</t>
  </si>
  <si>
    <t>R.MOH. SUHARTO WARDOYO, S.H, M.Hum</t>
  </si>
  <si>
    <t>Bank Jatim</t>
  </si>
  <si>
    <t>Mengetahui,</t>
  </si>
  <si>
    <t>Pengguna Anggaran</t>
  </si>
  <si>
    <t>Pembina Tk. I</t>
  </si>
  <si>
    <t>NIP 196903231996021001</t>
  </si>
  <si>
    <t>Surabaya, 2 April 2022</t>
  </si>
  <si>
    <t>Bendahara Pengeluaran</t>
  </si>
  <si>
    <t>Adim Al Basid, SH</t>
  </si>
  <si>
    <t>Penata Muda</t>
  </si>
  <si>
    <t>NIP 197010232001121002</t>
  </si>
  <si>
    <t>Gaji dan Tunjangan</t>
  </si>
  <si>
    <t>BPJS 1%</t>
  </si>
  <si>
    <t>BPJS 4%</t>
  </si>
  <si>
    <t>BPJS 1% (saldo)</t>
  </si>
  <si>
    <t>BPJS 4% (saldo)</t>
  </si>
  <si>
    <t xml:space="preserve">BPJS 1% </t>
  </si>
  <si>
    <t xml:space="preserve">BPJS 4%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</si>
</sst>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[$Rp-421]* #,##0.00_);_([$Rp-421]* \(#,##0.00\);_([$Rp-421]* &quot;-&quot;??_);_(@_)"/>
    <numFmt numFmtId="165" formatCode="_([$Rp-421]* #,##0_);_([$Rp-421]* \(#,##0\);_([$Rp-421]* &quot;-&quot;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b/>
      <u/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22" fillId="33" borderId="0" xfId="0" applyFont="1" applyFill="1" applyAlignment="1">
      <alignment vertical="top" wrapText="1"/>
    </xf>
    <xf numFmtId="0" fontId="23" fillId="33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5" fillId="33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horizontal="center" vertical="center" wrapText="1"/>
    </xf>
    <xf numFmtId="9" fontId="22" fillId="33" borderId="10" xfId="0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28" fillId="33" borderId="10" xfId="0" applyFont="1" applyFill="1" applyBorder="1" applyAlignment="1">
      <alignment horizontal="center" vertical="center" wrapText="1"/>
    </xf>
    <xf numFmtId="164" fontId="22" fillId="33" borderId="10" xfId="0" applyNumberFormat="1" applyFont="1" applyFill="1" applyBorder="1" applyAlignment="1">
      <alignment horizontal="center" vertical="center" wrapText="1"/>
    </xf>
    <xf numFmtId="164" fontId="27" fillId="33" borderId="10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65" fontId="22" fillId="0" borderId="10" xfId="1" applyNumberFormat="1" applyFont="1" applyFill="1" applyBorder="1" applyAlignment="1">
      <alignment horizontal="center" vertical="center" wrapText="1"/>
    </xf>
    <xf numFmtId="165" fontId="27" fillId="0" borderId="17" xfId="0" applyNumberFormat="1" applyFont="1" applyFill="1" applyBorder="1" applyAlignment="1">
      <alignment vertical="center"/>
    </xf>
    <xf numFmtId="165" fontId="27" fillId="0" borderId="18" xfId="0" applyNumberFormat="1" applyFont="1" applyBorder="1" applyAlignment="1">
      <alignment vertical="center"/>
    </xf>
    <xf numFmtId="0" fontId="28" fillId="33" borderId="0" xfId="0" applyFont="1" applyFill="1" applyAlignment="1">
      <alignment vertical="top" wrapText="1"/>
    </xf>
    <xf numFmtId="0" fontId="29" fillId="0" borderId="0" xfId="0" applyFont="1"/>
    <xf numFmtId="165" fontId="29" fillId="0" borderId="0" xfId="0" applyNumberFormat="1" applyFont="1"/>
    <xf numFmtId="165" fontId="27" fillId="0" borderId="10" xfId="0" applyNumberFormat="1" applyFont="1" applyBorder="1" applyAlignment="1">
      <alignment vertical="center"/>
    </xf>
    <xf numFmtId="0" fontId="27" fillId="33" borderId="11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  <xf numFmtId="0" fontId="27" fillId="33" borderId="0" xfId="0" applyFont="1" applyFill="1" applyAlignment="1">
      <alignment vertical="top" wrapText="1"/>
    </xf>
    <xf numFmtId="0" fontId="27" fillId="33" borderId="15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ANG%20BEBAN%20KERJA%20JANUARI%202022%20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tpp-id01631"/>
    </sheetNames>
    <sheetDataSet>
      <sheetData sheetId="0">
        <row r="16">
          <cell r="Z16">
            <v>19298</v>
          </cell>
          <cell r="AA16">
            <v>77192</v>
          </cell>
        </row>
        <row r="17">
          <cell r="Z17">
            <v>15039</v>
          </cell>
          <cell r="AA17">
            <v>60154</v>
          </cell>
        </row>
        <row r="18">
          <cell r="Z18">
            <v>-41870</v>
          </cell>
          <cell r="AA18">
            <v>-167480</v>
          </cell>
        </row>
        <row r="19">
          <cell r="Z19">
            <v>-30421</v>
          </cell>
          <cell r="AA19">
            <v>-121686</v>
          </cell>
        </row>
        <row r="20">
          <cell r="Z20">
            <v>-24044</v>
          </cell>
          <cell r="AA20">
            <v>-96175</v>
          </cell>
        </row>
        <row r="21">
          <cell r="Z21">
            <v>-28093</v>
          </cell>
          <cell r="AA21">
            <v>-112370</v>
          </cell>
        </row>
        <row r="22">
          <cell r="Z22">
            <v>-6398</v>
          </cell>
          <cell r="AA22">
            <v>-25593</v>
          </cell>
        </row>
        <row r="23">
          <cell r="Z23">
            <v>-4368</v>
          </cell>
          <cell r="AA23">
            <v>-17472</v>
          </cell>
        </row>
        <row r="24">
          <cell r="Z24">
            <v>-14226</v>
          </cell>
          <cell r="AA24">
            <v>-56904</v>
          </cell>
        </row>
        <row r="25">
          <cell r="Z25">
            <v>-8733</v>
          </cell>
          <cell r="AA25">
            <v>-34933</v>
          </cell>
        </row>
        <row r="26">
          <cell r="Z26">
            <v>-10288</v>
          </cell>
          <cell r="AA26">
            <v>-41150</v>
          </cell>
        </row>
        <row r="27">
          <cell r="Z27">
            <v>-41219</v>
          </cell>
          <cell r="AA27">
            <v>-164876</v>
          </cell>
        </row>
        <row r="28">
          <cell r="Z28">
            <v>-11968</v>
          </cell>
          <cell r="AA28">
            <v>-47873</v>
          </cell>
        </row>
        <row r="29">
          <cell r="Z29">
            <v>-14452</v>
          </cell>
          <cell r="AA29">
            <v>-57806</v>
          </cell>
        </row>
        <row r="30">
          <cell r="Z30">
            <v>-12014</v>
          </cell>
          <cell r="AA30">
            <v>-48057</v>
          </cell>
        </row>
        <row r="31">
          <cell r="Z31">
            <v>-27204</v>
          </cell>
          <cell r="AA31">
            <v>-108819</v>
          </cell>
        </row>
        <row r="32">
          <cell r="Z32">
            <v>9360</v>
          </cell>
          <cell r="AA32">
            <v>37440</v>
          </cell>
        </row>
        <row r="33">
          <cell r="Z33">
            <v>20261</v>
          </cell>
          <cell r="AA33">
            <v>81043</v>
          </cell>
        </row>
        <row r="34">
          <cell r="Z34">
            <v>14873</v>
          </cell>
          <cell r="AA34">
            <v>59490</v>
          </cell>
        </row>
        <row r="35">
          <cell r="Z35">
            <v>12460</v>
          </cell>
          <cell r="AA35">
            <v>49840</v>
          </cell>
        </row>
        <row r="36">
          <cell r="Z36">
            <v>4460</v>
          </cell>
          <cell r="AA36">
            <v>17840</v>
          </cell>
        </row>
        <row r="37">
          <cell r="Z37">
            <v>25936</v>
          </cell>
          <cell r="AA37">
            <v>103742</v>
          </cell>
        </row>
        <row r="38">
          <cell r="Z38">
            <v>22055</v>
          </cell>
          <cell r="AA38">
            <v>88219</v>
          </cell>
        </row>
        <row r="39">
          <cell r="Z39">
            <v>8911</v>
          </cell>
          <cell r="AA39">
            <v>35644</v>
          </cell>
        </row>
        <row r="40">
          <cell r="Z40">
            <v>10784</v>
          </cell>
          <cell r="AA40">
            <v>43134</v>
          </cell>
        </row>
        <row r="41">
          <cell r="Z41">
            <v>22102</v>
          </cell>
          <cell r="AA41">
            <v>88407</v>
          </cell>
        </row>
        <row r="42">
          <cell r="Z42">
            <v>14591</v>
          </cell>
          <cell r="AA42">
            <v>58364</v>
          </cell>
        </row>
        <row r="43">
          <cell r="Z43">
            <v>-5115</v>
          </cell>
          <cell r="AA43">
            <v>-20459</v>
          </cell>
        </row>
        <row r="44">
          <cell r="Z44">
            <v>-5046</v>
          </cell>
          <cell r="AA44">
            <v>-20183</v>
          </cell>
        </row>
        <row r="45">
          <cell r="Z45">
            <v>10355</v>
          </cell>
          <cell r="AA45">
            <v>41420</v>
          </cell>
        </row>
        <row r="46">
          <cell r="Z46">
            <v>10355</v>
          </cell>
          <cell r="AA46">
            <v>41420</v>
          </cell>
        </row>
        <row r="47">
          <cell r="Z47">
            <v>14549</v>
          </cell>
          <cell r="AA47">
            <v>58197</v>
          </cell>
        </row>
        <row r="48">
          <cell r="Z48">
            <v>16181</v>
          </cell>
          <cell r="AA48">
            <v>64724</v>
          </cell>
        </row>
        <row r="49">
          <cell r="Z49">
            <v>17252</v>
          </cell>
          <cell r="AA49">
            <v>69006</v>
          </cell>
        </row>
        <row r="50">
          <cell r="Z50">
            <v>-7469</v>
          </cell>
          <cell r="AA50">
            <v>-29876</v>
          </cell>
        </row>
        <row r="51">
          <cell r="Z51">
            <v>14638</v>
          </cell>
          <cell r="AA51">
            <v>58551</v>
          </cell>
        </row>
        <row r="52">
          <cell r="Z52">
            <v>8831</v>
          </cell>
          <cell r="AA52">
            <v>35325</v>
          </cell>
        </row>
        <row r="53">
          <cell r="Z53">
            <v>3294</v>
          </cell>
          <cell r="AA53">
            <v>13176</v>
          </cell>
        </row>
        <row r="54">
          <cell r="Z54">
            <v>9638</v>
          </cell>
          <cell r="AA54">
            <v>38552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66"/>
  <sheetViews>
    <sheetView showGridLines="0" tabSelected="1" topLeftCell="Q52" zoomScale="90" zoomScaleNormal="90" workbookViewId="0">
      <selection activeCell="U65" sqref="U65"/>
    </sheetView>
  </sheetViews>
  <sheetFormatPr defaultRowHeight="15" x14ac:dyDescent="0.2"/>
  <cols>
    <col min="1" max="1" width="8.85546875" style="1" customWidth="1"/>
    <col min="2" max="2" width="25.5703125" style="1" customWidth="1"/>
    <col min="3" max="3" width="46.28515625" style="1" customWidth="1"/>
    <col min="4" max="4" width="9.85546875" style="1" customWidth="1"/>
    <col min="5" max="5" width="24.42578125" style="1" customWidth="1"/>
    <col min="6" max="6" width="15.140625" style="1" customWidth="1"/>
    <col min="7" max="7" width="17" style="1" customWidth="1"/>
    <col min="8" max="8" width="31.85546875" style="1" customWidth="1"/>
    <col min="9" max="9" width="18.42578125" style="1" customWidth="1"/>
    <col min="10" max="10" width="14.85546875" style="1" customWidth="1"/>
    <col min="11" max="11" width="9.85546875" style="1" customWidth="1"/>
    <col min="12" max="12" width="9.140625" style="1" customWidth="1"/>
    <col min="13" max="13" width="15.85546875" style="1" customWidth="1"/>
    <col min="14" max="14" width="16.7109375" style="1" customWidth="1"/>
    <col min="15" max="15" width="33.42578125" style="1" customWidth="1"/>
    <col min="16" max="16" width="18.42578125" style="1" customWidth="1"/>
    <col min="17" max="17" width="27.85546875" style="1" customWidth="1"/>
    <col min="18" max="18" width="26.85546875" style="1" customWidth="1"/>
    <col min="19" max="19" width="28.7109375" style="1" customWidth="1"/>
    <col min="20" max="20" width="26.5703125" style="1" customWidth="1"/>
    <col min="21" max="21" width="23.42578125" style="1" customWidth="1"/>
    <col min="22" max="23" width="23.42578125" style="1" hidden="1" customWidth="1"/>
    <col min="24" max="25" width="23.42578125" style="1" customWidth="1"/>
    <col min="26" max="26" width="21" style="1" hidden="1" customWidth="1"/>
    <col min="27" max="27" width="22.85546875" style="1" hidden="1" customWidth="1"/>
    <col min="28" max="29" width="18.28515625" style="23" bestFit="1" customWidth="1"/>
    <col min="30" max="16384" width="9.140625" style="1"/>
  </cols>
  <sheetData>
    <row r="2" spans="1:29" ht="20.25" x14ac:dyDescent="0.2">
      <c r="B2" s="30" t="s">
        <v>231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9" ht="20.25" x14ac:dyDescent="0.2">
      <c r="B3" s="30" t="s">
        <v>227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9" ht="20.25" x14ac:dyDescent="0.2">
      <c r="B4" s="30" t="s">
        <v>228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9" ht="20.25" x14ac:dyDescent="0.2">
      <c r="B5" s="31" t="s">
        <v>229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2"/>
    </row>
    <row r="6" spans="1:29" ht="20.25" x14ac:dyDescent="0.2">
      <c r="B6" s="30" t="s">
        <v>230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9" ht="20.25" x14ac:dyDescent="0.2">
      <c r="B7" s="30" t="s">
        <v>232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9" ht="15" customHeigh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9" ht="15" customHeight="1" x14ac:dyDescent="0.2">
      <c r="A9" s="2"/>
      <c r="B9" s="22" t="s">
        <v>0</v>
      </c>
      <c r="C9" s="34" t="s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9" ht="15" customHeight="1" x14ac:dyDescent="0.2">
      <c r="A10" s="2"/>
      <c r="B10" s="22" t="s">
        <v>2</v>
      </c>
      <c r="C10" s="34" t="s">
        <v>3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9" ht="15" customHeight="1" x14ac:dyDescent="0.2">
      <c r="A11" s="2"/>
      <c r="B11" s="22" t="s">
        <v>4</v>
      </c>
      <c r="C11" s="34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9" ht="15" customHeight="1" x14ac:dyDescent="0.2">
      <c r="A12" s="2"/>
      <c r="B12" s="22" t="s">
        <v>6</v>
      </c>
      <c r="C12" s="34" t="s">
        <v>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9" ht="29.25" customHeight="1" thickBot="1" x14ac:dyDescent="0.25">
      <c r="A13" s="2"/>
      <c r="B13" s="22" t="s">
        <v>8</v>
      </c>
      <c r="C13" s="35" t="s">
        <v>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9" ht="55.5" customHeight="1" thickBot="1" x14ac:dyDescent="0.25">
      <c r="A14" s="3" t="s">
        <v>10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16</v>
      </c>
      <c r="H14" s="3" t="s">
        <v>17</v>
      </c>
      <c r="I14" s="3" t="s">
        <v>18</v>
      </c>
      <c r="J14" s="3" t="s">
        <v>19</v>
      </c>
      <c r="K14" s="3" t="s">
        <v>20</v>
      </c>
      <c r="L14" s="3" t="s">
        <v>21</v>
      </c>
      <c r="M14" s="3" t="s">
        <v>22</v>
      </c>
      <c r="N14" s="3" t="s">
        <v>23</v>
      </c>
      <c r="O14" s="3" t="s">
        <v>24</v>
      </c>
      <c r="P14" s="3" t="s">
        <v>25</v>
      </c>
      <c r="Q14" s="3" t="s">
        <v>26</v>
      </c>
      <c r="R14" s="3" t="s">
        <v>27</v>
      </c>
      <c r="S14" s="3" t="s">
        <v>28</v>
      </c>
      <c r="T14" s="3" t="s">
        <v>29</v>
      </c>
      <c r="U14" s="16" t="s">
        <v>244</v>
      </c>
      <c r="V14" s="16" t="s">
        <v>245</v>
      </c>
      <c r="W14" s="16" t="s">
        <v>246</v>
      </c>
      <c r="X14" s="16" t="s">
        <v>249</v>
      </c>
      <c r="Y14" s="16" t="s">
        <v>250</v>
      </c>
      <c r="Z14" s="16" t="s">
        <v>247</v>
      </c>
      <c r="AA14" s="16" t="s">
        <v>248</v>
      </c>
    </row>
    <row r="15" spans="1:29" ht="43.5" customHeight="1" thickBot="1" x14ac:dyDescent="0.25">
      <c r="A15" s="3">
        <v>1</v>
      </c>
      <c r="B15" s="3">
        <v>2</v>
      </c>
      <c r="C15" s="3">
        <v>3</v>
      </c>
      <c r="D15" s="3">
        <v>4</v>
      </c>
      <c r="E15" s="3">
        <v>5</v>
      </c>
      <c r="F15" s="3">
        <v>6</v>
      </c>
      <c r="G15" s="3">
        <v>7</v>
      </c>
      <c r="H15" s="3">
        <v>8</v>
      </c>
      <c r="I15" s="3">
        <v>9</v>
      </c>
      <c r="J15" s="3">
        <v>10</v>
      </c>
      <c r="K15" s="3">
        <v>11</v>
      </c>
      <c r="L15" s="3">
        <v>12</v>
      </c>
      <c r="M15" s="3">
        <v>13</v>
      </c>
      <c r="N15" s="3">
        <v>14</v>
      </c>
      <c r="O15" s="3" t="s">
        <v>30</v>
      </c>
      <c r="P15" s="3">
        <v>16</v>
      </c>
      <c r="Q15" s="3" t="s">
        <v>31</v>
      </c>
      <c r="R15" s="3">
        <v>18</v>
      </c>
      <c r="S15" s="3" t="s">
        <v>32</v>
      </c>
      <c r="T15" s="3">
        <v>20</v>
      </c>
      <c r="U15" s="17"/>
      <c r="V15" s="17"/>
      <c r="W15" s="17"/>
      <c r="X15" s="17"/>
      <c r="Y15" s="17"/>
      <c r="Z15" s="17"/>
      <c r="AA15" s="18"/>
    </row>
    <row r="16" spans="1:29" ht="69.75" customHeight="1" thickBot="1" x14ac:dyDescent="0.25">
      <c r="A16" s="9">
        <v>1</v>
      </c>
      <c r="B16" s="10" t="s">
        <v>33</v>
      </c>
      <c r="C16" s="12" t="s">
        <v>233</v>
      </c>
      <c r="D16" s="9" t="s">
        <v>34</v>
      </c>
      <c r="E16" s="9" t="s">
        <v>35</v>
      </c>
      <c r="F16" s="9" t="s">
        <v>234</v>
      </c>
      <c r="G16" s="9" t="s">
        <v>36</v>
      </c>
      <c r="H16" s="12" t="s">
        <v>37</v>
      </c>
      <c r="I16" s="9" t="s">
        <v>38</v>
      </c>
      <c r="J16" s="9">
        <v>6833814.4699999997</v>
      </c>
      <c r="K16" s="9">
        <v>7</v>
      </c>
      <c r="L16" s="9"/>
      <c r="M16" s="9">
        <v>4000</v>
      </c>
      <c r="N16" s="9">
        <v>890</v>
      </c>
      <c r="O16" s="9">
        <v>0.52093893031895999</v>
      </c>
      <c r="P16" s="11">
        <v>1</v>
      </c>
      <c r="Q16" s="14">
        <v>3560000</v>
      </c>
      <c r="R16" s="14">
        <v>534000</v>
      </c>
      <c r="S16" s="14">
        <v>3026000</v>
      </c>
      <c r="T16" s="9" t="s">
        <v>39</v>
      </c>
      <c r="U16" s="19">
        <f>5374096+190000</f>
        <v>5564096</v>
      </c>
      <c r="V16" s="19">
        <f>IF($U16&gt;12000000,0,IF($Q16+$U16&gt;12000000,ROUND((12000000-$U16)*1%,0),ROUND($Q16*1%,0)))</f>
        <v>35600</v>
      </c>
      <c r="W16" s="19">
        <f>IF($U16&gt;12000000,0,IF($Q16+$U16&gt;12000000,ROUND((12000000-$U16)*4%,0),ROUND($Q16*4%,0)))</f>
        <v>142400</v>
      </c>
      <c r="X16" s="19">
        <f>IF($U16&gt;12000000,0,IF($Q16+$U16&gt;12000000,ROUND((12000000-$U16)*1%,0),ROUND($Q16*1%,0)))-'[1]report-tpp-id01631'!Z16</f>
        <v>16302</v>
      </c>
      <c r="Y16" s="19">
        <f>IF($U16&gt;12000000,0,IF($Q16+$U16&gt;12000000,ROUND((12000000-$U16)*4%,0),ROUND($Q16*4%,0)))-'[1]report-tpp-id01631'!AA16</f>
        <v>65208</v>
      </c>
      <c r="Z16" s="19"/>
      <c r="AA16" s="19"/>
      <c r="AB16" s="24"/>
      <c r="AC16" s="24"/>
    </row>
    <row r="17" spans="1:29" ht="69.75" customHeight="1" thickBot="1" x14ac:dyDescent="0.25">
      <c r="A17" s="9">
        <v>2</v>
      </c>
      <c r="B17" s="10" t="s">
        <v>40</v>
      </c>
      <c r="C17" s="12" t="s">
        <v>41</v>
      </c>
      <c r="D17" s="9" t="s">
        <v>42</v>
      </c>
      <c r="E17" s="9" t="s">
        <v>43</v>
      </c>
      <c r="F17" s="9" t="s">
        <v>234</v>
      </c>
      <c r="G17" s="9" t="s">
        <v>44</v>
      </c>
      <c r="H17" s="12" t="s">
        <v>37</v>
      </c>
      <c r="I17" s="9" t="s">
        <v>38</v>
      </c>
      <c r="J17" s="9">
        <v>6833814.4699999997</v>
      </c>
      <c r="K17" s="9">
        <v>7</v>
      </c>
      <c r="L17" s="9"/>
      <c r="M17" s="9">
        <v>4000</v>
      </c>
      <c r="N17" s="9">
        <v>890</v>
      </c>
      <c r="O17" s="9">
        <v>0.52093893031895999</v>
      </c>
      <c r="P17" s="11">
        <v>1</v>
      </c>
      <c r="Q17" s="14">
        <v>3560000</v>
      </c>
      <c r="R17" s="14">
        <v>534000</v>
      </c>
      <c r="S17" s="14">
        <v>3026000</v>
      </c>
      <c r="T17" s="9" t="s">
        <v>39</v>
      </c>
      <c r="U17" s="19">
        <f>5063850+190000</f>
        <v>5253850</v>
      </c>
      <c r="V17" s="19">
        <f t="shared" ref="V17:V54" si="0">IF($U17&gt;12000000,0,IF($Q17+$U17&gt;12000000,ROUND((12000000-$U17)*1%,0),ROUND($Q17*1%,0)))</f>
        <v>35600</v>
      </c>
      <c r="W17" s="19">
        <f t="shared" ref="W17:W54" si="1">IF($U17&gt;12000000,0,IF($Q17+$U17&gt;12000000,ROUND((12000000-$U17)*4%,0),ROUND($Q17*4%,0)))</f>
        <v>142400</v>
      </c>
      <c r="X17" s="19">
        <f>IF($U17&gt;12000000,0,IF($Q17+$U17&gt;12000000,ROUND((12000000-$U17)*1%,0),ROUND($Q17*1%,0)))-'[1]report-tpp-id01631'!Z17</f>
        <v>20561</v>
      </c>
      <c r="Y17" s="19">
        <f>IF($U17&gt;12000000,0,IF($Q17+$U17&gt;12000000,ROUND((12000000-$U17)*4%,0),ROUND($Q17*4%,0)))-'[1]report-tpp-id01631'!AA17</f>
        <v>82246</v>
      </c>
      <c r="Z17" s="19"/>
      <c r="AA17" s="19"/>
      <c r="AB17" s="24"/>
      <c r="AC17" s="24"/>
    </row>
    <row r="18" spans="1:29" ht="69.75" customHeight="1" thickBot="1" x14ac:dyDescent="0.25">
      <c r="A18" s="9">
        <v>3</v>
      </c>
      <c r="B18" s="10" t="s">
        <v>45</v>
      </c>
      <c r="C18" s="12" t="s">
        <v>46</v>
      </c>
      <c r="D18" s="9" t="s">
        <v>42</v>
      </c>
      <c r="E18" s="9" t="s">
        <v>47</v>
      </c>
      <c r="F18" s="9" t="s">
        <v>234</v>
      </c>
      <c r="G18" s="9" t="s">
        <v>48</v>
      </c>
      <c r="H18" s="12" t="s">
        <v>49</v>
      </c>
      <c r="I18" s="9" t="s">
        <v>38</v>
      </c>
      <c r="J18" s="9">
        <v>22969982.460000001</v>
      </c>
      <c r="K18" s="9">
        <v>14</v>
      </c>
      <c r="L18" s="9"/>
      <c r="M18" s="9">
        <v>4000</v>
      </c>
      <c r="N18" s="9">
        <v>2865</v>
      </c>
      <c r="O18" s="9">
        <v>0.49891200482876003</v>
      </c>
      <c r="P18" s="11">
        <v>1</v>
      </c>
      <c r="Q18" s="14">
        <v>11460000</v>
      </c>
      <c r="R18" s="14">
        <v>1719000</v>
      </c>
      <c r="S18" s="14">
        <v>9741000</v>
      </c>
      <c r="T18" s="9" t="s">
        <v>39</v>
      </c>
      <c r="U18" s="19">
        <f>5413290+2025000</f>
        <v>7438290</v>
      </c>
      <c r="V18" s="19">
        <f t="shared" si="0"/>
        <v>45617</v>
      </c>
      <c r="W18" s="19">
        <f t="shared" si="1"/>
        <v>182468</v>
      </c>
      <c r="X18" s="19">
        <f>IF($U18&gt;12000000,0,IF($Q18+$U18&gt;12000000,ROUND((12000000-$U18)*1%,0),ROUND($Q18*1%,0)))-'[1]report-tpp-id01631'!Z18</f>
        <v>87487</v>
      </c>
      <c r="Y18" s="19">
        <f>IF($U18&gt;12000000,0,IF($Q18+$U18&gt;12000000,ROUND((12000000-$U18)*4%,0),ROUND($Q18*4%,0)))-'[1]report-tpp-id01631'!AA18</f>
        <v>349948</v>
      </c>
      <c r="Z18" s="19"/>
      <c r="AA18" s="19"/>
      <c r="AB18" s="24"/>
      <c r="AC18" s="24"/>
    </row>
    <row r="19" spans="1:29" ht="69.75" customHeight="1" thickBot="1" x14ac:dyDescent="0.25">
      <c r="A19" s="9">
        <v>4</v>
      </c>
      <c r="B19" s="10" t="s">
        <v>50</v>
      </c>
      <c r="C19" s="12" t="s">
        <v>51</v>
      </c>
      <c r="D19" s="9" t="s">
        <v>52</v>
      </c>
      <c r="E19" s="9" t="s">
        <v>53</v>
      </c>
      <c r="F19" s="9" t="s">
        <v>234</v>
      </c>
      <c r="G19" s="9" t="s">
        <v>54</v>
      </c>
      <c r="H19" s="12" t="s">
        <v>55</v>
      </c>
      <c r="I19" s="9" t="s">
        <v>38</v>
      </c>
      <c r="J19" s="9">
        <v>16484400.960000001</v>
      </c>
      <c r="K19" s="9">
        <v>12</v>
      </c>
      <c r="L19" s="9"/>
      <c r="M19" s="9">
        <v>4000</v>
      </c>
      <c r="N19" s="9">
        <v>2115</v>
      </c>
      <c r="O19" s="9">
        <v>0.51321246192254999</v>
      </c>
      <c r="P19" s="11">
        <v>1</v>
      </c>
      <c r="Q19" s="14">
        <v>8460000</v>
      </c>
      <c r="R19" s="14">
        <v>1269000</v>
      </c>
      <c r="S19" s="14">
        <v>7191000</v>
      </c>
      <c r="T19" s="9" t="s">
        <v>39</v>
      </c>
      <c r="U19" s="19">
        <f>4416700+1260000</f>
        <v>5676700</v>
      </c>
      <c r="V19" s="19">
        <f t="shared" si="0"/>
        <v>63233</v>
      </c>
      <c r="W19" s="19">
        <f t="shared" si="1"/>
        <v>252932</v>
      </c>
      <c r="X19" s="19">
        <f>IF($U19&gt;12000000,0,IF($Q19+$U19&gt;12000000,ROUND((12000000-$U19)*1%,0),ROUND($Q19*1%,0)))-'[1]report-tpp-id01631'!Z19</f>
        <v>93654</v>
      </c>
      <c r="Y19" s="19">
        <f>IF($U19&gt;12000000,0,IF($Q19+$U19&gt;12000000,ROUND((12000000-$U19)*4%,0),ROUND($Q19*4%,0)))-'[1]report-tpp-id01631'!AA19</f>
        <v>374618</v>
      </c>
      <c r="Z19" s="19"/>
      <c r="AA19" s="19"/>
      <c r="AB19" s="24"/>
      <c r="AC19" s="24"/>
    </row>
    <row r="20" spans="1:29" ht="69.75" customHeight="1" thickBot="1" x14ac:dyDescent="0.25">
      <c r="A20" s="9">
        <v>5</v>
      </c>
      <c r="B20" s="10" t="s">
        <v>56</v>
      </c>
      <c r="C20" s="12" t="s">
        <v>57</v>
      </c>
      <c r="D20" s="9" t="s">
        <v>52</v>
      </c>
      <c r="E20" s="9" t="s">
        <v>58</v>
      </c>
      <c r="F20" s="9" t="s">
        <v>234</v>
      </c>
      <c r="G20" s="9" t="s">
        <v>59</v>
      </c>
      <c r="H20" s="12" t="s">
        <v>60</v>
      </c>
      <c r="I20" s="9" t="s">
        <v>38</v>
      </c>
      <c r="J20" s="9">
        <v>12744502.49</v>
      </c>
      <c r="K20" s="9">
        <v>11</v>
      </c>
      <c r="L20" s="9"/>
      <c r="M20" s="9">
        <v>4000</v>
      </c>
      <c r="N20" s="9">
        <v>2045</v>
      </c>
      <c r="O20" s="9">
        <v>0.64184537657853002</v>
      </c>
      <c r="P20" s="11">
        <v>1</v>
      </c>
      <c r="Q20" s="14">
        <v>8180000</v>
      </c>
      <c r="R20" s="14">
        <v>1227000</v>
      </c>
      <c r="S20" s="14">
        <v>6953000</v>
      </c>
      <c r="T20" s="9" t="s">
        <v>39</v>
      </c>
      <c r="U20" s="19">
        <f>4795616+980000</f>
        <v>5775616</v>
      </c>
      <c r="V20" s="19">
        <f t="shared" si="0"/>
        <v>62244</v>
      </c>
      <c r="W20" s="19">
        <f t="shared" si="1"/>
        <v>248975</v>
      </c>
      <c r="X20" s="19">
        <f>IF($U20&gt;12000000,0,IF($Q20+$U20&gt;12000000,ROUND((12000000-$U20)*1%,0),ROUND($Q20*1%,0)))-'[1]report-tpp-id01631'!Z20</f>
        <v>86288</v>
      </c>
      <c r="Y20" s="19">
        <f>IF($U20&gt;12000000,0,IF($Q20+$U20&gt;12000000,ROUND((12000000-$U20)*4%,0),ROUND($Q20*4%,0)))-'[1]report-tpp-id01631'!AA20</f>
        <v>345150</v>
      </c>
      <c r="Z20" s="19"/>
      <c r="AA20" s="19"/>
      <c r="AB20" s="24"/>
      <c r="AC20" s="24"/>
    </row>
    <row r="21" spans="1:29" ht="69.75" customHeight="1" thickBot="1" x14ac:dyDescent="0.25">
      <c r="A21" s="9">
        <v>6</v>
      </c>
      <c r="B21" s="10" t="s">
        <v>61</v>
      </c>
      <c r="C21" s="12" t="s">
        <v>62</v>
      </c>
      <c r="D21" s="9" t="s">
        <v>63</v>
      </c>
      <c r="E21" s="9" t="s">
        <v>64</v>
      </c>
      <c r="F21" s="9" t="s">
        <v>234</v>
      </c>
      <c r="G21" s="9" t="s">
        <v>65</v>
      </c>
      <c r="H21" s="12" t="s">
        <v>66</v>
      </c>
      <c r="I21" s="9" t="s">
        <v>38</v>
      </c>
      <c r="J21" s="9">
        <v>12744502.49</v>
      </c>
      <c r="K21" s="9">
        <v>11</v>
      </c>
      <c r="L21" s="9"/>
      <c r="M21" s="9">
        <v>4000</v>
      </c>
      <c r="N21" s="9">
        <v>2045</v>
      </c>
      <c r="O21" s="9">
        <v>0.64184537657853002</v>
      </c>
      <c r="P21" s="11">
        <v>1</v>
      </c>
      <c r="Q21" s="14">
        <v>8180000</v>
      </c>
      <c r="R21" s="14">
        <v>409000</v>
      </c>
      <c r="S21" s="14">
        <v>7771000</v>
      </c>
      <c r="T21" s="9" t="s">
        <v>39</v>
      </c>
      <c r="U21" s="19">
        <f>4830750+980000</f>
        <v>5810750</v>
      </c>
      <c r="V21" s="19">
        <f t="shared" si="0"/>
        <v>61893</v>
      </c>
      <c r="W21" s="19">
        <f t="shared" si="1"/>
        <v>247570</v>
      </c>
      <c r="X21" s="19">
        <f>IF($U21&gt;12000000,0,IF($Q21+$U21&gt;12000000,ROUND((12000000-$U21)*1%,0),ROUND($Q21*1%,0)))-'[1]report-tpp-id01631'!Z21</f>
        <v>89986</v>
      </c>
      <c r="Y21" s="19">
        <f>IF($U21&gt;12000000,0,IF($Q21+$U21&gt;12000000,ROUND((12000000-$U21)*4%,0),ROUND($Q21*4%,0)))-'[1]report-tpp-id01631'!AA21</f>
        <v>359940</v>
      </c>
      <c r="Z21" s="19"/>
      <c r="AA21" s="19"/>
      <c r="AB21" s="24"/>
      <c r="AC21" s="24"/>
    </row>
    <row r="22" spans="1:29" ht="69.75" customHeight="1" thickBot="1" x14ac:dyDescent="0.25">
      <c r="A22" s="9">
        <v>7</v>
      </c>
      <c r="B22" s="10" t="s">
        <v>67</v>
      </c>
      <c r="C22" s="12" t="s">
        <v>68</v>
      </c>
      <c r="D22" s="9" t="s">
        <v>63</v>
      </c>
      <c r="E22" s="9" t="s">
        <v>69</v>
      </c>
      <c r="F22" s="9" t="s">
        <v>234</v>
      </c>
      <c r="G22" s="9" t="s">
        <v>70</v>
      </c>
      <c r="H22" s="12" t="s">
        <v>71</v>
      </c>
      <c r="I22" s="9" t="s">
        <v>38</v>
      </c>
      <c r="J22" s="9">
        <v>9643374.5600000005</v>
      </c>
      <c r="K22" s="9">
        <v>9</v>
      </c>
      <c r="L22" s="9"/>
      <c r="M22" s="9">
        <v>4000</v>
      </c>
      <c r="N22" s="9">
        <v>1430</v>
      </c>
      <c r="O22" s="9">
        <v>0.59315335771837996</v>
      </c>
      <c r="P22" s="11">
        <v>1</v>
      </c>
      <c r="Q22" s="14">
        <v>5720000</v>
      </c>
      <c r="R22" s="14">
        <v>286000</v>
      </c>
      <c r="S22" s="14">
        <v>5434000</v>
      </c>
      <c r="T22" s="9" t="s">
        <v>39</v>
      </c>
      <c r="U22" s="19">
        <f>4540164+540000</f>
        <v>5080164</v>
      </c>
      <c r="V22" s="19">
        <f t="shared" si="0"/>
        <v>57200</v>
      </c>
      <c r="W22" s="19">
        <f t="shared" si="1"/>
        <v>228800</v>
      </c>
      <c r="X22" s="19">
        <f>IF($U22&gt;12000000,0,IF($Q22+$U22&gt;12000000,ROUND((12000000-$U22)*1%,0),ROUND($Q22*1%,0)))-'[1]report-tpp-id01631'!Z22</f>
        <v>63598</v>
      </c>
      <c r="Y22" s="19">
        <f>IF($U22&gt;12000000,0,IF($Q22+$U22&gt;12000000,ROUND((12000000-$U22)*4%,0),ROUND($Q22*4%,0)))-'[1]report-tpp-id01631'!AA22</f>
        <v>254393</v>
      </c>
      <c r="Z22" s="19"/>
      <c r="AA22" s="19"/>
      <c r="AB22" s="24"/>
      <c r="AC22" s="24"/>
    </row>
    <row r="23" spans="1:29" ht="69.75" customHeight="1" thickBot="1" x14ac:dyDescent="0.25">
      <c r="A23" s="9">
        <v>8</v>
      </c>
      <c r="B23" s="10" t="s">
        <v>72</v>
      </c>
      <c r="C23" s="12" t="s">
        <v>73</v>
      </c>
      <c r="D23" s="9" t="s">
        <v>63</v>
      </c>
      <c r="E23" s="9" t="s">
        <v>74</v>
      </c>
      <c r="F23" s="9" t="s">
        <v>234</v>
      </c>
      <c r="G23" s="9" t="s">
        <v>75</v>
      </c>
      <c r="H23" s="12" t="s">
        <v>71</v>
      </c>
      <c r="I23" s="9" t="s">
        <v>38</v>
      </c>
      <c r="J23" s="9">
        <v>7750759.2800000003</v>
      </c>
      <c r="K23" s="9">
        <v>8</v>
      </c>
      <c r="L23" s="9"/>
      <c r="M23" s="9">
        <v>4000</v>
      </c>
      <c r="N23" s="9">
        <v>1295</v>
      </c>
      <c r="O23" s="9">
        <v>0.66832162022712005</v>
      </c>
      <c r="P23" s="11">
        <v>1</v>
      </c>
      <c r="Q23" s="14">
        <v>5180000</v>
      </c>
      <c r="R23" s="14">
        <v>259000</v>
      </c>
      <c r="S23" s="14">
        <v>4921000</v>
      </c>
      <c r="T23" s="9" t="s">
        <v>39</v>
      </c>
      <c r="U23" s="19">
        <f>4190262+540000</f>
        <v>4730262</v>
      </c>
      <c r="V23" s="19">
        <f t="shared" si="0"/>
        <v>51800</v>
      </c>
      <c r="W23" s="19">
        <f t="shared" si="1"/>
        <v>207200</v>
      </c>
      <c r="X23" s="19">
        <f>IF($U23&gt;12000000,0,IF($Q23+$U23&gt;12000000,ROUND((12000000-$U23)*1%,0),ROUND($Q23*1%,0)))-'[1]report-tpp-id01631'!Z23</f>
        <v>56168</v>
      </c>
      <c r="Y23" s="19">
        <f>IF($U23&gt;12000000,0,IF($Q23+$U23&gt;12000000,ROUND((12000000-$U23)*4%,0),ROUND($Q23*4%,0)))-'[1]report-tpp-id01631'!AA23</f>
        <v>224672</v>
      </c>
      <c r="Z23" s="19"/>
      <c r="AA23" s="19"/>
      <c r="AB23" s="24"/>
      <c r="AC23" s="24"/>
    </row>
    <row r="24" spans="1:29" ht="69.75" customHeight="1" thickBot="1" x14ac:dyDescent="0.25">
      <c r="A24" s="9">
        <v>9</v>
      </c>
      <c r="B24" s="10" t="s">
        <v>76</v>
      </c>
      <c r="C24" s="12" t="s">
        <v>77</v>
      </c>
      <c r="D24" s="9" t="s">
        <v>63</v>
      </c>
      <c r="E24" s="9" t="s">
        <v>78</v>
      </c>
      <c r="F24" s="9" t="s">
        <v>234</v>
      </c>
      <c r="G24" s="9" t="s">
        <v>79</v>
      </c>
      <c r="H24" s="12" t="s">
        <v>71</v>
      </c>
      <c r="I24" s="9" t="s">
        <v>38</v>
      </c>
      <c r="J24" s="9">
        <v>9643374.5600000005</v>
      </c>
      <c r="K24" s="9">
        <v>9</v>
      </c>
      <c r="L24" s="9"/>
      <c r="M24" s="9">
        <v>4000</v>
      </c>
      <c r="N24" s="9">
        <v>1430</v>
      </c>
      <c r="O24" s="9">
        <v>0.59315335771837996</v>
      </c>
      <c r="P24" s="11">
        <v>1</v>
      </c>
      <c r="Q24" s="14">
        <v>5720000</v>
      </c>
      <c r="R24" s="14">
        <v>286000</v>
      </c>
      <c r="S24" s="14">
        <v>5434000</v>
      </c>
      <c r="T24" s="9" t="s">
        <v>39</v>
      </c>
      <c r="U24" s="19">
        <f>3743100+540000</f>
        <v>4283100</v>
      </c>
      <c r="V24" s="19">
        <f t="shared" si="0"/>
        <v>57200</v>
      </c>
      <c r="W24" s="19">
        <f t="shared" si="1"/>
        <v>228800</v>
      </c>
      <c r="X24" s="19">
        <f>IF($U24&gt;12000000,0,IF($Q24+$U24&gt;12000000,ROUND((12000000-$U24)*1%,0),ROUND($Q24*1%,0)))-'[1]report-tpp-id01631'!Z24</f>
        <v>71426</v>
      </c>
      <c r="Y24" s="19">
        <f>IF($U24&gt;12000000,0,IF($Q24+$U24&gt;12000000,ROUND((12000000-$U24)*4%,0),ROUND($Q24*4%,0)))-'[1]report-tpp-id01631'!AA24</f>
        <v>285704</v>
      </c>
      <c r="Z24" s="19"/>
      <c r="AA24" s="19"/>
      <c r="AB24" s="24"/>
      <c r="AC24" s="24"/>
    </row>
    <row r="25" spans="1:29" ht="69.75" customHeight="1" thickBot="1" x14ac:dyDescent="0.25">
      <c r="A25" s="9">
        <v>10</v>
      </c>
      <c r="B25" s="10" t="s">
        <v>80</v>
      </c>
      <c r="C25" s="12" t="s">
        <v>81</v>
      </c>
      <c r="D25" s="9" t="s">
        <v>63</v>
      </c>
      <c r="E25" s="9" t="s">
        <v>82</v>
      </c>
      <c r="F25" s="9" t="s">
        <v>234</v>
      </c>
      <c r="G25" s="9" t="s">
        <v>83</v>
      </c>
      <c r="H25" s="12" t="s">
        <v>71</v>
      </c>
      <c r="I25" s="9" t="s">
        <v>84</v>
      </c>
      <c r="J25" s="9">
        <v>9643374.5600000005</v>
      </c>
      <c r="K25" s="9">
        <v>9</v>
      </c>
      <c r="L25" s="9"/>
      <c r="M25" s="9">
        <v>4000</v>
      </c>
      <c r="N25" s="9">
        <v>1430</v>
      </c>
      <c r="O25" s="9">
        <v>0.59315335771837996</v>
      </c>
      <c r="P25" s="11">
        <v>1</v>
      </c>
      <c r="Q25" s="14">
        <v>5591300</v>
      </c>
      <c r="R25" s="14">
        <v>279565</v>
      </c>
      <c r="S25" s="14">
        <v>5311735</v>
      </c>
      <c r="T25" s="9" t="s">
        <v>39</v>
      </c>
      <c r="U25" s="19">
        <f>4192272+540000</f>
        <v>4732272</v>
      </c>
      <c r="V25" s="19">
        <f t="shared" si="0"/>
        <v>55913</v>
      </c>
      <c r="W25" s="19">
        <f t="shared" si="1"/>
        <v>223652</v>
      </c>
      <c r="X25" s="19">
        <f>IF($U25&gt;12000000,0,IF($Q25+$U25&gt;12000000,ROUND((12000000-$U25)*1%,0),ROUND($Q25*1%,0)))-'[1]report-tpp-id01631'!Z25</f>
        <v>64646</v>
      </c>
      <c r="Y25" s="19">
        <f>IF($U25&gt;12000000,0,IF($Q25+$U25&gt;12000000,ROUND((12000000-$U25)*4%,0),ROUND($Q25*4%,0)))-'[1]report-tpp-id01631'!AA25</f>
        <v>258585</v>
      </c>
      <c r="Z25" s="19"/>
      <c r="AA25" s="19"/>
      <c r="AB25" s="24"/>
      <c r="AC25" s="24"/>
    </row>
    <row r="26" spans="1:29" ht="69.75" customHeight="1" thickBot="1" x14ac:dyDescent="0.25">
      <c r="A26" s="9">
        <v>11</v>
      </c>
      <c r="B26" s="10" t="s">
        <v>85</v>
      </c>
      <c r="C26" s="12" t="s">
        <v>86</v>
      </c>
      <c r="D26" s="9" t="s">
        <v>63</v>
      </c>
      <c r="E26" s="9" t="s">
        <v>87</v>
      </c>
      <c r="F26" s="9" t="s">
        <v>234</v>
      </c>
      <c r="G26" s="9" t="s">
        <v>88</v>
      </c>
      <c r="H26" s="12" t="s">
        <v>71</v>
      </c>
      <c r="I26" s="9" t="s">
        <v>38</v>
      </c>
      <c r="J26" s="9">
        <v>9643374.5600000005</v>
      </c>
      <c r="K26" s="9">
        <v>9</v>
      </c>
      <c r="L26" s="9"/>
      <c r="M26" s="9">
        <v>4000</v>
      </c>
      <c r="N26" s="9">
        <v>1430</v>
      </c>
      <c r="O26" s="9">
        <v>0.59315335771837996</v>
      </c>
      <c r="P26" s="11">
        <v>1</v>
      </c>
      <c r="Q26" s="14">
        <v>5720000</v>
      </c>
      <c r="R26" s="14">
        <v>286000</v>
      </c>
      <c r="S26" s="14">
        <v>5434000</v>
      </c>
      <c r="T26" s="9" t="s">
        <v>39</v>
      </c>
      <c r="U26" s="19">
        <f>4136946+540000</f>
        <v>4676946</v>
      </c>
      <c r="V26" s="19">
        <f t="shared" si="0"/>
        <v>57200</v>
      </c>
      <c r="W26" s="19">
        <f t="shared" si="1"/>
        <v>228800</v>
      </c>
      <c r="X26" s="19">
        <f>IF($U26&gt;12000000,0,IF($Q26+$U26&gt;12000000,ROUND((12000000-$U26)*1%,0),ROUND($Q26*1%,0)))-'[1]report-tpp-id01631'!Z26</f>
        <v>67488</v>
      </c>
      <c r="Y26" s="19">
        <f>IF($U26&gt;12000000,0,IF($Q26+$U26&gt;12000000,ROUND((12000000-$U26)*4%,0),ROUND($Q26*4%,0)))-'[1]report-tpp-id01631'!AA26</f>
        <v>269950</v>
      </c>
      <c r="Z26" s="19"/>
      <c r="AA26" s="19"/>
      <c r="AB26" s="24"/>
      <c r="AC26" s="24"/>
    </row>
    <row r="27" spans="1:29" ht="69.75" customHeight="1" thickBot="1" x14ac:dyDescent="0.25">
      <c r="A27" s="9">
        <v>12</v>
      </c>
      <c r="B27" s="10" t="s">
        <v>89</v>
      </c>
      <c r="C27" s="12" t="s">
        <v>90</v>
      </c>
      <c r="D27" s="9" t="s">
        <v>63</v>
      </c>
      <c r="E27" s="9" t="s">
        <v>91</v>
      </c>
      <c r="F27" s="9" t="s">
        <v>234</v>
      </c>
      <c r="G27" s="9" t="s">
        <v>92</v>
      </c>
      <c r="H27" s="12" t="s">
        <v>93</v>
      </c>
      <c r="I27" s="9" t="s">
        <v>38</v>
      </c>
      <c r="J27" s="9">
        <v>12744502.49</v>
      </c>
      <c r="K27" s="9">
        <v>11</v>
      </c>
      <c r="L27" s="9"/>
      <c r="M27" s="9">
        <v>4000</v>
      </c>
      <c r="N27" s="9">
        <v>2045</v>
      </c>
      <c r="O27" s="9">
        <v>0.64184537657853002</v>
      </c>
      <c r="P27" s="11">
        <v>1</v>
      </c>
      <c r="Q27" s="14">
        <v>8180000</v>
      </c>
      <c r="R27" s="14">
        <v>409000</v>
      </c>
      <c r="S27" s="14">
        <v>7771000</v>
      </c>
      <c r="T27" s="9" t="s">
        <v>39</v>
      </c>
      <c r="U27" s="19">
        <f>3940272+540000</f>
        <v>4480272</v>
      </c>
      <c r="V27" s="19">
        <f t="shared" si="0"/>
        <v>75197</v>
      </c>
      <c r="W27" s="19">
        <f t="shared" si="1"/>
        <v>300789</v>
      </c>
      <c r="X27" s="19">
        <f>IF($U27&gt;12000000,0,IF($Q27+$U27&gt;12000000,ROUND((12000000-$U27)*1%,0),ROUND($Q27*1%,0)))-'[1]report-tpp-id01631'!Z27</f>
        <v>116416</v>
      </c>
      <c r="Y27" s="19">
        <f>IF($U27&gt;12000000,0,IF($Q27+$U27&gt;12000000,ROUND((12000000-$U27)*4%,0),ROUND($Q27*4%,0)))-'[1]report-tpp-id01631'!AA27</f>
        <v>465665</v>
      </c>
      <c r="Z27" s="19"/>
      <c r="AA27" s="19"/>
      <c r="AB27" s="24"/>
      <c r="AC27" s="24"/>
    </row>
    <row r="28" spans="1:29" ht="69.75" customHeight="1" thickBot="1" x14ac:dyDescent="0.25">
      <c r="A28" s="9">
        <v>13</v>
      </c>
      <c r="B28" s="10" t="s">
        <v>94</v>
      </c>
      <c r="C28" s="12" t="s">
        <v>95</v>
      </c>
      <c r="D28" s="9" t="s">
        <v>63</v>
      </c>
      <c r="E28" s="9" t="s">
        <v>96</v>
      </c>
      <c r="F28" s="9" t="s">
        <v>234</v>
      </c>
      <c r="G28" s="9" t="s">
        <v>97</v>
      </c>
      <c r="H28" s="12" t="s">
        <v>98</v>
      </c>
      <c r="I28" s="9" t="s">
        <v>99</v>
      </c>
      <c r="J28" s="9">
        <v>9643374.5600000005</v>
      </c>
      <c r="K28" s="9">
        <v>9</v>
      </c>
      <c r="L28" s="9"/>
      <c r="M28" s="9">
        <v>4000</v>
      </c>
      <c r="N28" s="9">
        <v>1430</v>
      </c>
      <c r="O28" s="9">
        <v>0.59315335771837996</v>
      </c>
      <c r="P28" s="11">
        <v>1</v>
      </c>
      <c r="Q28" s="14">
        <v>5605600</v>
      </c>
      <c r="R28" s="14">
        <v>280280</v>
      </c>
      <c r="S28" s="14">
        <v>5325320</v>
      </c>
      <c r="T28" s="9" t="s">
        <v>39</v>
      </c>
      <c r="U28" s="19">
        <f>3940272+540000</f>
        <v>4480272</v>
      </c>
      <c r="V28" s="19">
        <f t="shared" si="0"/>
        <v>56056</v>
      </c>
      <c r="W28" s="19">
        <f t="shared" si="1"/>
        <v>224224</v>
      </c>
      <c r="X28" s="19">
        <f>IF($U28&gt;12000000,0,IF($Q28+$U28&gt;12000000,ROUND((12000000-$U28)*1%,0),ROUND($Q28*1%,0)))-'[1]report-tpp-id01631'!Z28</f>
        <v>68024</v>
      </c>
      <c r="Y28" s="19">
        <f>IF($U28&gt;12000000,0,IF($Q28+$U28&gt;12000000,ROUND((12000000-$U28)*4%,0),ROUND($Q28*4%,0)))-'[1]report-tpp-id01631'!AA28</f>
        <v>272097</v>
      </c>
      <c r="Z28" s="19"/>
      <c r="AA28" s="19"/>
      <c r="AB28" s="24"/>
      <c r="AC28" s="24"/>
    </row>
    <row r="29" spans="1:29" ht="69.75" customHeight="1" thickBot="1" x14ac:dyDescent="0.25">
      <c r="A29" s="9">
        <v>14</v>
      </c>
      <c r="B29" s="10" t="s">
        <v>100</v>
      </c>
      <c r="C29" s="12" t="s">
        <v>101</v>
      </c>
      <c r="D29" s="9" t="s">
        <v>102</v>
      </c>
      <c r="E29" s="9" t="s">
        <v>103</v>
      </c>
      <c r="F29" s="9" t="s">
        <v>234</v>
      </c>
      <c r="G29" s="9" t="s">
        <v>104</v>
      </c>
      <c r="H29" s="12" t="s">
        <v>71</v>
      </c>
      <c r="I29" s="9" t="s">
        <v>38</v>
      </c>
      <c r="J29" s="9">
        <v>9643374.5600000005</v>
      </c>
      <c r="K29" s="9">
        <v>9</v>
      </c>
      <c r="L29" s="9"/>
      <c r="M29" s="9">
        <v>4000</v>
      </c>
      <c r="N29" s="9">
        <v>1430</v>
      </c>
      <c r="O29" s="9">
        <v>0.59315335771837996</v>
      </c>
      <c r="P29" s="11">
        <v>1</v>
      </c>
      <c r="Q29" s="14">
        <v>5720000</v>
      </c>
      <c r="R29" s="14">
        <v>286000</v>
      </c>
      <c r="S29" s="14">
        <v>5434000</v>
      </c>
      <c r="T29" s="9" t="s">
        <v>39</v>
      </c>
      <c r="U29" s="19">
        <f>3734848+540000</f>
        <v>4274848</v>
      </c>
      <c r="V29" s="19">
        <f t="shared" si="0"/>
        <v>57200</v>
      </c>
      <c r="W29" s="19">
        <f t="shared" si="1"/>
        <v>228800</v>
      </c>
      <c r="X29" s="19">
        <f>IF($U29&gt;12000000,0,IF($Q29+$U29&gt;12000000,ROUND((12000000-$U29)*1%,0),ROUND($Q29*1%,0)))-'[1]report-tpp-id01631'!Z29</f>
        <v>71652</v>
      </c>
      <c r="Y29" s="19">
        <f>IF($U29&gt;12000000,0,IF($Q29+$U29&gt;12000000,ROUND((12000000-$U29)*4%,0),ROUND($Q29*4%,0)))-'[1]report-tpp-id01631'!AA29</f>
        <v>286606</v>
      </c>
      <c r="Z29" s="19"/>
      <c r="AA29" s="19"/>
      <c r="AB29" s="24"/>
      <c r="AC29" s="24"/>
    </row>
    <row r="30" spans="1:29" ht="69.75" customHeight="1" thickBot="1" x14ac:dyDescent="0.25">
      <c r="A30" s="9">
        <v>15</v>
      </c>
      <c r="B30" s="10" t="s">
        <v>105</v>
      </c>
      <c r="C30" s="12" t="s">
        <v>106</v>
      </c>
      <c r="D30" s="9" t="s">
        <v>107</v>
      </c>
      <c r="E30" s="9" t="s">
        <v>108</v>
      </c>
      <c r="F30" s="9" t="s">
        <v>234</v>
      </c>
      <c r="G30" s="9" t="s">
        <v>109</v>
      </c>
      <c r="H30" s="12" t="s">
        <v>71</v>
      </c>
      <c r="I30" s="9" t="s">
        <v>110</v>
      </c>
      <c r="J30" s="9">
        <v>9643374.5600000005</v>
      </c>
      <c r="K30" s="9">
        <v>9</v>
      </c>
      <c r="L30" s="9"/>
      <c r="M30" s="9">
        <v>4000</v>
      </c>
      <c r="N30" s="9">
        <v>1430</v>
      </c>
      <c r="O30" s="9">
        <v>0.59315335771837996</v>
      </c>
      <c r="P30" s="11">
        <v>1</v>
      </c>
      <c r="Q30" s="14">
        <v>4790500</v>
      </c>
      <c r="R30" s="14">
        <v>239525</v>
      </c>
      <c r="S30" s="14">
        <v>4550975</v>
      </c>
      <c r="T30" s="9" t="s">
        <v>39</v>
      </c>
      <c r="U30" s="19">
        <f>3363684+540000</f>
        <v>3903684</v>
      </c>
      <c r="V30" s="19">
        <f t="shared" si="0"/>
        <v>47905</v>
      </c>
      <c r="W30" s="19">
        <f t="shared" si="1"/>
        <v>191620</v>
      </c>
      <c r="X30" s="19">
        <f>IF($U30&gt;12000000,0,IF($Q30+$U30&gt;12000000,ROUND((12000000-$U30)*1%,0),ROUND($Q30*1%,0)))-'[1]report-tpp-id01631'!Z30</f>
        <v>59919</v>
      </c>
      <c r="Y30" s="19">
        <f>IF($U30&gt;12000000,0,IF($Q30+$U30&gt;12000000,ROUND((12000000-$U30)*4%,0),ROUND($Q30*4%,0)))-'[1]report-tpp-id01631'!AA30</f>
        <v>239677</v>
      </c>
      <c r="Z30" s="19"/>
      <c r="AA30" s="19"/>
      <c r="AB30" s="24"/>
      <c r="AC30" s="24"/>
    </row>
    <row r="31" spans="1:29" ht="69.75" customHeight="1" thickBot="1" x14ac:dyDescent="0.25">
      <c r="A31" s="9">
        <v>16</v>
      </c>
      <c r="B31" s="10" t="s">
        <v>111</v>
      </c>
      <c r="C31" s="12" t="s">
        <v>112</v>
      </c>
      <c r="D31" s="9" t="s">
        <v>113</v>
      </c>
      <c r="E31" s="9" t="s">
        <v>114</v>
      </c>
      <c r="F31" s="9" t="s">
        <v>234</v>
      </c>
      <c r="G31" s="9" t="s">
        <v>115</v>
      </c>
      <c r="H31" s="12" t="s">
        <v>116</v>
      </c>
      <c r="I31" s="9" t="s">
        <v>38</v>
      </c>
      <c r="J31" s="9">
        <v>20615803.949999999</v>
      </c>
      <c r="K31" s="9">
        <v>13</v>
      </c>
      <c r="L31" s="9"/>
      <c r="M31" s="9">
        <v>4000</v>
      </c>
      <c r="N31" s="9">
        <v>2485</v>
      </c>
      <c r="O31" s="9">
        <v>0.48215437167077002</v>
      </c>
      <c r="P31" s="11">
        <v>1</v>
      </c>
      <c r="Q31" s="14">
        <v>9940000</v>
      </c>
      <c r="R31" s="14">
        <v>1491000</v>
      </c>
      <c r="S31" s="14">
        <v>8449000</v>
      </c>
      <c r="T31" s="9" t="s">
        <v>39</v>
      </c>
      <c r="U31" s="19">
        <f>5154672+2040000</f>
        <v>7194672</v>
      </c>
      <c r="V31" s="19">
        <f t="shared" si="0"/>
        <v>48053</v>
      </c>
      <c r="W31" s="19">
        <f t="shared" si="1"/>
        <v>192213</v>
      </c>
      <c r="X31" s="19">
        <f>IF($U31&gt;12000000,0,IF($Q31+$U31&gt;12000000,ROUND((12000000-$U31)*1%,0),ROUND($Q31*1%,0)))-'[1]report-tpp-id01631'!Z31</f>
        <v>75257</v>
      </c>
      <c r="Y31" s="19">
        <f>IF($U31&gt;12000000,0,IF($Q31+$U31&gt;12000000,ROUND((12000000-$U31)*4%,0),ROUND($Q31*4%,0)))-'[1]report-tpp-id01631'!AA31</f>
        <v>301032</v>
      </c>
      <c r="Z31" s="19"/>
      <c r="AA31" s="19"/>
      <c r="AB31" s="24"/>
      <c r="AC31" s="24"/>
    </row>
    <row r="32" spans="1:29" ht="69.75" customHeight="1" thickBot="1" x14ac:dyDescent="0.25">
      <c r="A32" s="9">
        <v>17</v>
      </c>
      <c r="B32" s="10" t="s">
        <v>117</v>
      </c>
      <c r="C32" s="12" t="s">
        <v>118</v>
      </c>
      <c r="D32" s="9" t="s">
        <v>42</v>
      </c>
      <c r="E32" s="9" t="s">
        <v>119</v>
      </c>
      <c r="F32" s="9" t="s">
        <v>234</v>
      </c>
      <c r="G32" s="9" t="s">
        <v>120</v>
      </c>
      <c r="H32" s="12" t="s">
        <v>121</v>
      </c>
      <c r="I32" s="9" t="s">
        <v>38</v>
      </c>
      <c r="J32" s="9">
        <v>9643374.5600000005</v>
      </c>
      <c r="K32" s="9">
        <v>9</v>
      </c>
      <c r="L32" s="9"/>
      <c r="M32" s="9">
        <v>4000</v>
      </c>
      <c r="N32" s="9">
        <v>1355</v>
      </c>
      <c r="O32" s="9">
        <v>0.56204391588000002</v>
      </c>
      <c r="P32" s="11">
        <v>1</v>
      </c>
      <c r="Q32" s="14">
        <v>5420000</v>
      </c>
      <c r="R32" s="14">
        <v>813000</v>
      </c>
      <c r="S32" s="14">
        <v>4607000</v>
      </c>
      <c r="T32" s="9" t="s">
        <v>39</v>
      </c>
      <c r="U32" s="19">
        <f>5247990+1108000</f>
        <v>6355990</v>
      </c>
      <c r="V32" s="19">
        <f t="shared" si="0"/>
        <v>54200</v>
      </c>
      <c r="W32" s="19">
        <f t="shared" si="1"/>
        <v>216800</v>
      </c>
      <c r="X32" s="19">
        <f>IF($U32&gt;12000000,0,IF($Q32+$U32&gt;12000000,ROUND((12000000-$U32)*1%,0),ROUND($Q32*1%,0)))-'[1]report-tpp-id01631'!Z32</f>
        <v>44840</v>
      </c>
      <c r="Y32" s="19">
        <f>IF($U32&gt;12000000,0,IF($Q32+$U32&gt;12000000,ROUND((12000000-$U32)*4%,0),ROUND($Q32*4%,0)))-'[1]report-tpp-id01631'!AA32</f>
        <v>179360</v>
      </c>
      <c r="Z32" s="19"/>
      <c r="AA32" s="19"/>
      <c r="AB32" s="24"/>
      <c r="AC32" s="24"/>
    </row>
    <row r="33" spans="1:29" ht="69.75" customHeight="1" thickBot="1" x14ac:dyDescent="0.25">
      <c r="A33" s="9">
        <v>18</v>
      </c>
      <c r="B33" s="10" t="s">
        <v>122</v>
      </c>
      <c r="C33" s="12" t="s">
        <v>123</v>
      </c>
      <c r="D33" s="9" t="s">
        <v>63</v>
      </c>
      <c r="E33" s="9" t="s">
        <v>124</v>
      </c>
      <c r="F33" s="9" t="s">
        <v>234</v>
      </c>
      <c r="G33" s="9" t="s">
        <v>125</v>
      </c>
      <c r="H33" s="12" t="s">
        <v>126</v>
      </c>
      <c r="I33" s="9" t="s">
        <v>38</v>
      </c>
      <c r="J33" s="9">
        <v>5938505.4500000002</v>
      </c>
      <c r="K33" s="9">
        <v>6</v>
      </c>
      <c r="L33" s="9"/>
      <c r="M33" s="9">
        <v>4000</v>
      </c>
      <c r="N33" s="9">
        <v>690</v>
      </c>
      <c r="O33" s="9">
        <v>0.46476340271777</v>
      </c>
      <c r="P33" s="11">
        <v>1</v>
      </c>
      <c r="Q33" s="14">
        <v>2760000</v>
      </c>
      <c r="R33" s="14">
        <v>138000</v>
      </c>
      <c r="S33" s="14">
        <v>2622000</v>
      </c>
      <c r="T33" s="9" t="s">
        <v>39</v>
      </c>
      <c r="U33" s="19">
        <f>4746000+185000</f>
        <v>4931000</v>
      </c>
      <c r="V33" s="19">
        <f t="shared" si="0"/>
        <v>27600</v>
      </c>
      <c r="W33" s="19">
        <f t="shared" si="1"/>
        <v>110400</v>
      </c>
      <c r="X33" s="19">
        <f>IF($U33&gt;12000000,0,IF($Q33+$U33&gt;12000000,ROUND((12000000-$U33)*1%,0),ROUND($Q33*1%,0)))-'[1]report-tpp-id01631'!Z33</f>
        <v>7339</v>
      </c>
      <c r="Y33" s="19">
        <f>IF($U33&gt;12000000,0,IF($Q33+$U33&gt;12000000,ROUND((12000000-$U33)*4%,0),ROUND($Q33*4%,0)))-'[1]report-tpp-id01631'!AA33</f>
        <v>29357</v>
      </c>
      <c r="Z33" s="19"/>
      <c r="AA33" s="19"/>
      <c r="AB33" s="24"/>
      <c r="AC33" s="24"/>
    </row>
    <row r="34" spans="1:29" ht="69.75" customHeight="1" thickBot="1" x14ac:dyDescent="0.25">
      <c r="A34" s="9">
        <v>19</v>
      </c>
      <c r="B34" s="10" t="s">
        <v>127</v>
      </c>
      <c r="C34" s="12" t="s">
        <v>128</v>
      </c>
      <c r="D34" s="9" t="s">
        <v>63</v>
      </c>
      <c r="E34" s="9" t="s">
        <v>129</v>
      </c>
      <c r="F34" s="9" t="s">
        <v>234</v>
      </c>
      <c r="G34" s="9" t="s">
        <v>130</v>
      </c>
      <c r="H34" s="12" t="s">
        <v>131</v>
      </c>
      <c r="I34" s="9" t="s">
        <v>38</v>
      </c>
      <c r="J34" s="9">
        <v>5938505.4500000002</v>
      </c>
      <c r="K34" s="9">
        <v>6</v>
      </c>
      <c r="L34" s="9"/>
      <c r="M34" s="9">
        <v>4000</v>
      </c>
      <c r="N34" s="9">
        <v>690</v>
      </c>
      <c r="O34" s="9">
        <v>0.46476340271777</v>
      </c>
      <c r="P34" s="11">
        <v>1</v>
      </c>
      <c r="Q34" s="14">
        <v>2760000</v>
      </c>
      <c r="R34" s="14">
        <v>138000</v>
      </c>
      <c r="S34" s="14">
        <v>2622000</v>
      </c>
      <c r="T34" s="9" t="s">
        <v>39</v>
      </c>
      <c r="U34" s="19">
        <f>4062252+185000</f>
        <v>4247252</v>
      </c>
      <c r="V34" s="19">
        <f t="shared" si="0"/>
        <v>27600</v>
      </c>
      <c r="W34" s="19">
        <f t="shared" si="1"/>
        <v>110400</v>
      </c>
      <c r="X34" s="19">
        <f>IF($U34&gt;12000000,0,IF($Q34+$U34&gt;12000000,ROUND((12000000-$U34)*1%,0),ROUND($Q34*1%,0)))-'[1]report-tpp-id01631'!Z34</f>
        <v>12727</v>
      </c>
      <c r="Y34" s="19">
        <f>IF($U34&gt;12000000,0,IF($Q34+$U34&gt;12000000,ROUND((12000000-$U34)*4%,0),ROUND($Q34*4%,0)))-'[1]report-tpp-id01631'!AA34</f>
        <v>50910</v>
      </c>
      <c r="Z34" s="19"/>
      <c r="AA34" s="19"/>
      <c r="AB34" s="24"/>
      <c r="AC34" s="24"/>
    </row>
    <row r="35" spans="1:29" ht="69.75" customHeight="1" thickBot="1" x14ac:dyDescent="0.25">
      <c r="A35" s="9">
        <v>20</v>
      </c>
      <c r="B35" s="10" t="s">
        <v>132</v>
      </c>
      <c r="C35" s="12" t="s">
        <v>133</v>
      </c>
      <c r="D35" s="9" t="s">
        <v>102</v>
      </c>
      <c r="E35" s="9" t="s">
        <v>134</v>
      </c>
      <c r="F35" s="9" t="s">
        <v>234</v>
      </c>
      <c r="G35" s="9" t="s">
        <v>135</v>
      </c>
      <c r="H35" s="12" t="s">
        <v>126</v>
      </c>
      <c r="I35" s="9" t="s">
        <v>38</v>
      </c>
      <c r="J35" s="9">
        <v>5938505.4500000002</v>
      </c>
      <c r="K35" s="9">
        <v>6</v>
      </c>
      <c r="L35" s="9"/>
      <c r="M35" s="9">
        <v>4000</v>
      </c>
      <c r="N35" s="9">
        <v>690</v>
      </c>
      <c r="O35" s="9">
        <v>0.46476340271777</v>
      </c>
      <c r="P35" s="11">
        <v>1</v>
      </c>
      <c r="Q35" s="14">
        <v>2760000</v>
      </c>
      <c r="R35" s="14">
        <v>138000</v>
      </c>
      <c r="S35" s="14">
        <v>2622000</v>
      </c>
      <c r="T35" s="9" t="s">
        <v>39</v>
      </c>
      <c r="U35" s="19">
        <f>3821000+185000</f>
        <v>4006000</v>
      </c>
      <c r="V35" s="19">
        <f t="shared" si="0"/>
        <v>27600</v>
      </c>
      <c r="W35" s="19">
        <f t="shared" si="1"/>
        <v>110400</v>
      </c>
      <c r="X35" s="19">
        <f>IF($U35&gt;12000000,0,IF($Q35+$U35&gt;12000000,ROUND((12000000-$U35)*1%,0),ROUND($Q35*1%,0)))-'[1]report-tpp-id01631'!Z35</f>
        <v>15140</v>
      </c>
      <c r="Y35" s="19">
        <f>IF($U35&gt;12000000,0,IF($Q35+$U35&gt;12000000,ROUND((12000000-$U35)*4%,0),ROUND($Q35*4%,0)))-'[1]report-tpp-id01631'!AA35</f>
        <v>60560</v>
      </c>
      <c r="Z35" s="19"/>
      <c r="AA35" s="19"/>
      <c r="AB35" s="24"/>
      <c r="AC35" s="24"/>
    </row>
    <row r="36" spans="1:29" ht="69.75" customHeight="1" thickBot="1" x14ac:dyDescent="0.25">
      <c r="A36" s="9">
        <v>21</v>
      </c>
      <c r="B36" s="10" t="s">
        <v>136</v>
      </c>
      <c r="C36" s="12" t="s">
        <v>137</v>
      </c>
      <c r="D36" s="9" t="s">
        <v>102</v>
      </c>
      <c r="E36" s="9" t="s">
        <v>138</v>
      </c>
      <c r="F36" s="9" t="s">
        <v>234</v>
      </c>
      <c r="G36" s="9" t="s">
        <v>139</v>
      </c>
      <c r="H36" s="12" t="s">
        <v>140</v>
      </c>
      <c r="I36" s="9" t="s">
        <v>38</v>
      </c>
      <c r="J36" s="9">
        <v>6833814.4699999997</v>
      </c>
      <c r="K36" s="9">
        <v>7</v>
      </c>
      <c r="L36" s="9"/>
      <c r="M36" s="9">
        <v>4000</v>
      </c>
      <c r="N36" s="9">
        <v>890</v>
      </c>
      <c r="O36" s="9">
        <v>0.52093893031895999</v>
      </c>
      <c r="P36" s="11">
        <v>1</v>
      </c>
      <c r="Q36" s="14">
        <v>3560000</v>
      </c>
      <c r="R36" s="14">
        <v>178000</v>
      </c>
      <c r="S36" s="14">
        <v>3382000</v>
      </c>
      <c r="T36" s="9" t="s">
        <v>39</v>
      </c>
      <c r="U36" s="19">
        <f>3941400+185000</f>
        <v>4126400</v>
      </c>
      <c r="V36" s="19">
        <f t="shared" si="0"/>
        <v>35600</v>
      </c>
      <c r="W36" s="19">
        <f t="shared" si="1"/>
        <v>142400</v>
      </c>
      <c r="X36" s="19">
        <f>IF($U36&gt;12000000,0,IF($Q36+$U36&gt;12000000,ROUND((12000000-$U36)*1%,0),ROUND($Q36*1%,0)))-'[1]report-tpp-id01631'!Z36</f>
        <v>31140</v>
      </c>
      <c r="Y36" s="19">
        <f>IF($U36&gt;12000000,0,IF($Q36+$U36&gt;12000000,ROUND((12000000-$U36)*4%,0),ROUND($Q36*4%,0)))-'[1]report-tpp-id01631'!AA36</f>
        <v>124560</v>
      </c>
      <c r="Z36" s="19"/>
      <c r="AA36" s="19"/>
      <c r="AB36" s="24"/>
      <c r="AC36" s="24"/>
    </row>
    <row r="37" spans="1:29" ht="69.75" customHeight="1" thickBot="1" x14ac:dyDescent="0.25">
      <c r="A37" s="9">
        <v>22</v>
      </c>
      <c r="B37" s="10" t="s">
        <v>141</v>
      </c>
      <c r="C37" s="12" t="s">
        <v>142</v>
      </c>
      <c r="D37" s="9" t="s">
        <v>107</v>
      </c>
      <c r="E37" s="9" t="s">
        <v>143</v>
      </c>
      <c r="F37" s="9" t="s">
        <v>234</v>
      </c>
      <c r="G37" s="9" t="s">
        <v>144</v>
      </c>
      <c r="H37" s="12" t="s">
        <v>145</v>
      </c>
      <c r="I37" s="9" t="s">
        <v>146</v>
      </c>
      <c r="J37" s="9">
        <v>4952532.21</v>
      </c>
      <c r="K37" s="9">
        <v>5</v>
      </c>
      <c r="L37" s="9"/>
      <c r="M37" s="9">
        <v>4000</v>
      </c>
      <c r="N37" s="9">
        <v>490</v>
      </c>
      <c r="O37" s="9">
        <v>0.39575714339473</v>
      </c>
      <c r="P37" s="11">
        <v>1</v>
      </c>
      <c r="Q37" s="14">
        <v>1862000</v>
      </c>
      <c r="R37" s="14">
        <v>93100</v>
      </c>
      <c r="S37" s="14">
        <v>1768900</v>
      </c>
      <c r="T37" s="9" t="s">
        <v>39</v>
      </c>
      <c r="U37" s="19">
        <f>4368560+185000</f>
        <v>4553560</v>
      </c>
      <c r="V37" s="19">
        <f t="shared" si="0"/>
        <v>18620</v>
      </c>
      <c r="W37" s="19">
        <f t="shared" si="1"/>
        <v>74480</v>
      </c>
      <c r="X37" s="19">
        <v>0</v>
      </c>
      <c r="Y37" s="19">
        <v>0</v>
      </c>
      <c r="Z37" s="19">
        <f>IF($U37&gt;12000000,0,IF($Q37+$U37&gt;12000000,ROUND((12000000-$U37)*1%,0),ROUND($Q37*1%,0)))-'[1]report-tpp-id01631'!Z37</f>
        <v>-7316</v>
      </c>
      <c r="AA37" s="19">
        <f>IF($U37&gt;12000000,0,IF($Q37+$U37&gt;12000000,ROUND((12000000-$U37)*4%,0),ROUND($Q37*4%,0)))-'[1]report-tpp-id01631'!AA37</f>
        <v>-29262</v>
      </c>
      <c r="AB37" s="24"/>
      <c r="AC37" s="24"/>
    </row>
    <row r="38" spans="1:29" ht="69.75" customHeight="1" thickBot="1" x14ac:dyDescent="0.25">
      <c r="A38" s="9">
        <v>23</v>
      </c>
      <c r="B38" s="10" t="s">
        <v>147</v>
      </c>
      <c r="C38" s="12" t="s">
        <v>148</v>
      </c>
      <c r="D38" s="9" t="s">
        <v>107</v>
      </c>
      <c r="E38" s="9" t="s">
        <v>149</v>
      </c>
      <c r="F38" s="9" t="s">
        <v>234</v>
      </c>
      <c r="G38" s="9" t="s">
        <v>150</v>
      </c>
      <c r="H38" s="12" t="s">
        <v>151</v>
      </c>
      <c r="I38" s="9" t="s">
        <v>38</v>
      </c>
      <c r="J38" s="9">
        <v>4952532.21</v>
      </c>
      <c r="K38" s="9">
        <v>5</v>
      </c>
      <c r="L38" s="9"/>
      <c r="M38" s="9">
        <v>4000</v>
      </c>
      <c r="N38" s="9">
        <v>490</v>
      </c>
      <c r="O38" s="9">
        <v>0.39575714339473</v>
      </c>
      <c r="P38" s="11">
        <v>1</v>
      </c>
      <c r="Q38" s="14">
        <v>1960000</v>
      </c>
      <c r="R38" s="14">
        <v>98000</v>
      </c>
      <c r="S38" s="14">
        <v>1862000</v>
      </c>
      <c r="T38" s="9" t="s">
        <v>39</v>
      </c>
      <c r="U38" s="19">
        <f>3980480+185000</f>
        <v>4165480</v>
      </c>
      <c r="V38" s="19">
        <f t="shared" si="0"/>
        <v>19600</v>
      </c>
      <c r="W38" s="19">
        <f t="shared" si="1"/>
        <v>78400</v>
      </c>
      <c r="X38" s="19">
        <v>0</v>
      </c>
      <c r="Y38" s="19">
        <v>0</v>
      </c>
      <c r="Z38" s="19">
        <f>IF($U38&gt;12000000,0,IF($Q38+$U38&gt;12000000,ROUND((12000000-$U38)*1%,0),ROUND($Q38*1%,0)))-'[1]report-tpp-id01631'!Z38</f>
        <v>-2455</v>
      </c>
      <c r="AA38" s="19">
        <f>IF($U38&gt;12000000,0,IF($Q38+$U38&gt;12000000,ROUND((12000000-$U38)*4%,0),ROUND($Q38*4%,0)))-'[1]report-tpp-id01631'!AA38</f>
        <v>-9819</v>
      </c>
      <c r="AB38" s="24"/>
      <c r="AC38" s="24"/>
    </row>
    <row r="39" spans="1:29" ht="69.75" customHeight="1" thickBot="1" x14ac:dyDescent="0.25">
      <c r="A39" s="9">
        <v>24</v>
      </c>
      <c r="B39" s="10" t="s">
        <v>152</v>
      </c>
      <c r="C39" s="12" t="s">
        <v>153</v>
      </c>
      <c r="D39" s="9" t="s">
        <v>154</v>
      </c>
      <c r="E39" s="9" t="s">
        <v>155</v>
      </c>
      <c r="F39" s="9" t="s">
        <v>234</v>
      </c>
      <c r="G39" s="9" t="s">
        <v>156</v>
      </c>
      <c r="H39" s="12" t="s">
        <v>157</v>
      </c>
      <c r="I39" s="9" t="s">
        <v>84</v>
      </c>
      <c r="J39" s="9">
        <v>6833814.4699999997</v>
      </c>
      <c r="K39" s="9">
        <v>7</v>
      </c>
      <c r="L39" s="9"/>
      <c r="M39" s="9">
        <v>4000</v>
      </c>
      <c r="N39" s="9">
        <v>890</v>
      </c>
      <c r="O39" s="9">
        <v>0.52093893031895999</v>
      </c>
      <c r="P39" s="11">
        <v>1</v>
      </c>
      <c r="Q39" s="14">
        <v>3479900</v>
      </c>
      <c r="R39" s="14">
        <v>173995</v>
      </c>
      <c r="S39" s="14">
        <v>3305905</v>
      </c>
      <c r="T39" s="9" t="s">
        <v>39</v>
      </c>
      <c r="U39" s="19">
        <f>4266108+185000</f>
        <v>4451108</v>
      </c>
      <c r="V39" s="19">
        <f t="shared" si="0"/>
        <v>34799</v>
      </c>
      <c r="W39" s="19">
        <f t="shared" si="1"/>
        <v>139196</v>
      </c>
      <c r="X39" s="19">
        <f>IF($U39&gt;12000000,0,IF($Q39+$U39&gt;12000000,ROUND((12000000-$U39)*1%,0),ROUND($Q39*1%,0)))-'[1]report-tpp-id01631'!Z39</f>
        <v>25888</v>
      </c>
      <c r="Y39" s="19">
        <f>IF($U39&gt;12000000,0,IF($Q39+$U39&gt;12000000,ROUND((12000000-$U39)*4%,0),ROUND($Q39*4%,0)))-'[1]report-tpp-id01631'!AA39</f>
        <v>103552</v>
      </c>
      <c r="Z39" s="19"/>
      <c r="AA39" s="19"/>
      <c r="AB39" s="24"/>
      <c r="AC39" s="24"/>
    </row>
    <row r="40" spans="1:29" ht="69.75" customHeight="1" thickBot="1" x14ac:dyDescent="0.25">
      <c r="A40" s="9">
        <v>25</v>
      </c>
      <c r="B40" s="10" t="s">
        <v>158</v>
      </c>
      <c r="C40" s="12" t="s">
        <v>159</v>
      </c>
      <c r="D40" s="9" t="s">
        <v>154</v>
      </c>
      <c r="E40" s="9" t="s">
        <v>160</v>
      </c>
      <c r="F40" s="9" t="s">
        <v>234</v>
      </c>
      <c r="G40" s="9" t="s">
        <v>161</v>
      </c>
      <c r="H40" s="12" t="s">
        <v>131</v>
      </c>
      <c r="I40" s="9" t="s">
        <v>38</v>
      </c>
      <c r="J40" s="9">
        <v>5938505.4500000002</v>
      </c>
      <c r="K40" s="9">
        <v>6</v>
      </c>
      <c r="L40" s="9"/>
      <c r="M40" s="9">
        <v>4000</v>
      </c>
      <c r="N40" s="9">
        <v>690</v>
      </c>
      <c r="O40" s="9">
        <v>0.46476340271777</v>
      </c>
      <c r="P40" s="11">
        <v>1</v>
      </c>
      <c r="Q40" s="14">
        <v>2760000</v>
      </c>
      <c r="R40" s="14">
        <v>138000</v>
      </c>
      <c r="S40" s="14">
        <v>2622000</v>
      </c>
      <c r="T40" s="9" t="s">
        <v>39</v>
      </c>
      <c r="U40" s="19">
        <f>3653358+185000</f>
        <v>3838358</v>
      </c>
      <c r="V40" s="19">
        <f t="shared" si="0"/>
        <v>27600</v>
      </c>
      <c r="W40" s="19">
        <f t="shared" si="1"/>
        <v>110400</v>
      </c>
      <c r="X40" s="19">
        <f>IF($U40&gt;12000000,0,IF($Q40+$U40&gt;12000000,ROUND((12000000-$U40)*1%,0),ROUND($Q40*1%,0)))-'[1]report-tpp-id01631'!Z40</f>
        <v>16816</v>
      </c>
      <c r="Y40" s="19">
        <f>IF($U40&gt;12000000,0,IF($Q40+$U40&gt;12000000,ROUND((12000000-$U40)*4%,0),ROUND($Q40*4%,0)))-'[1]report-tpp-id01631'!AA40</f>
        <v>67266</v>
      </c>
      <c r="Z40" s="19"/>
      <c r="AA40" s="19"/>
      <c r="AB40" s="24"/>
      <c r="AC40" s="24"/>
    </row>
    <row r="41" spans="1:29" ht="69.75" customHeight="1" thickBot="1" x14ac:dyDescent="0.25">
      <c r="A41" s="9">
        <v>26</v>
      </c>
      <c r="B41" s="10" t="s">
        <v>162</v>
      </c>
      <c r="C41" s="12" t="s">
        <v>163</v>
      </c>
      <c r="D41" s="9" t="s">
        <v>154</v>
      </c>
      <c r="E41" s="9" t="s">
        <v>164</v>
      </c>
      <c r="F41" s="9" t="s">
        <v>234</v>
      </c>
      <c r="G41" s="9" t="s">
        <v>165</v>
      </c>
      <c r="H41" s="12" t="s">
        <v>145</v>
      </c>
      <c r="I41" s="9" t="s">
        <v>38</v>
      </c>
      <c r="J41" s="9">
        <v>4952532.21</v>
      </c>
      <c r="K41" s="9">
        <v>5</v>
      </c>
      <c r="L41" s="9"/>
      <c r="M41" s="9">
        <v>4000</v>
      </c>
      <c r="N41" s="9">
        <v>490</v>
      </c>
      <c r="O41" s="9">
        <v>0.39575714339473</v>
      </c>
      <c r="P41" s="11">
        <v>1</v>
      </c>
      <c r="Q41" s="14">
        <v>1960000</v>
      </c>
      <c r="R41" s="14">
        <v>98000</v>
      </c>
      <c r="S41" s="14">
        <v>1862000</v>
      </c>
      <c r="T41" s="9" t="s">
        <v>39</v>
      </c>
      <c r="U41" s="19">
        <f>3887172+185000</f>
        <v>4072172</v>
      </c>
      <c r="V41" s="19">
        <f t="shared" si="0"/>
        <v>19600</v>
      </c>
      <c r="W41" s="19">
        <f t="shared" si="1"/>
        <v>78400</v>
      </c>
      <c r="X41" s="19">
        <v>0</v>
      </c>
      <c r="Y41" s="19">
        <v>0</v>
      </c>
      <c r="Z41" s="19">
        <f>IF($U41&gt;12000000,0,IF($Q41+$U41&gt;12000000,ROUND((12000000-$U41)*1%,0),ROUND($Q41*1%,0)))-'[1]report-tpp-id01631'!Z41</f>
        <v>-2502</v>
      </c>
      <c r="AA41" s="19">
        <f>IF($U41&gt;12000000,0,IF($Q41+$U41&gt;12000000,ROUND((12000000-$U41)*4%,0),ROUND($Q41*4%,0)))-'[1]report-tpp-id01631'!AA41</f>
        <v>-10007</v>
      </c>
      <c r="AB41" s="24"/>
      <c r="AC41" s="24"/>
    </row>
    <row r="42" spans="1:29" ht="69.75" customHeight="1" thickBot="1" x14ac:dyDescent="0.25">
      <c r="A42" s="9">
        <v>27</v>
      </c>
      <c r="B42" s="10" t="s">
        <v>166</v>
      </c>
      <c r="C42" s="12" t="s">
        <v>167</v>
      </c>
      <c r="D42" s="9" t="s">
        <v>154</v>
      </c>
      <c r="E42" s="9" t="s">
        <v>168</v>
      </c>
      <c r="F42" s="9" t="s">
        <v>234</v>
      </c>
      <c r="G42" s="9" t="s">
        <v>169</v>
      </c>
      <c r="H42" s="12" t="s">
        <v>145</v>
      </c>
      <c r="I42" s="9" t="s">
        <v>170</v>
      </c>
      <c r="J42" s="9">
        <v>4952532.21</v>
      </c>
      <c r="K42" s="9">
        <v>5</v>
      </c>
      <c r="L42" s="9"/>
      <c r="M42" s="9">
        <v>4000</v>
      </c>
      <c r="N42" s="9">
        <v>490</v>
      </c>
      <c r="O42" s="9">
        <v>0.39575714339473</v>
      </c>
      <c r="P42" s="11">
        <v>1</v>
      </c>
      <c r="Q42" s="14">
        <v>1911000</v>
      </c>
      <c r="R42" s="14">
        <v>95550</v>
      </c>
      <c r="S42" s="14">
        <v>1815450</v>
      </c>
      <c r="T42" s="9" t="s">
        <v>39</v>
      </c>
      <c r="U42" s="19">
        <f>3204700+185000</f>
        <v>3389700</v>
      </c>
      <c r="V42" s="19">
        <f t="shared" si="0"/>
        <v>19110</v>
      </c>
      <c r="W42" s="19">
        <f t="shared" si="1"/>
        <v>76440</v>
      </c>
      <c r="X42" s="19">
        <f>IF($U42&gt;12000000,0,IF($Q42+$U42&gt;12000000,ROUND((12000000-$U42)*1%,0),ROUND($Q42*1%,0)))-'[1]report-tpp-id01631'!Z42</f>
        <v>4519</v>
      </c>
      <c r="Y42" s="19">
        <f>IF($U42&gt;12000000,0,IF($Q42+$U42&gt;12000000,ROUND((12000000-$U42)*4%,0),ROUND($Q42*4%,0)))-'[1]report-tpp-id01631'!AA42</f>
        <v>18076</v>
      </c>
      <c r="Z42" s="19"/>
      <c r="AA42" s="19"/>
      <c r="AB42" s="24"/>
      <c r="AC42" s="24"/>
    </row>
    <row r="43" spans="1:29" ht="69.75" customHeight="1" thickBot="1" x14ac:dyDescent="0.25">
      <c r="A43" s="9">
        <v>28</v>
      </c>
      <c r="B43" s="10" t="s">
        <v>171</v>
      </c>
      <c r="C43" s="12" t="s">
        <v>172</v>
      </c>
      <c r="D43" s="9" t="s">
        <v>154</v>
      </c>
      <c r="E43" s="9" t="s">
        <v>173</v>
      </c>
      <c r="F43" s="9" t="s">
        <v>234</v>
      </c>
      <c r="G43" s="9" t="s">
        <v>174</v>
      </c>
      <c r="H43" s="12" t="s">
        <v>131</v>
      </c>
      <c r="I43" s="9" t="s">
        <v>38</v>
      </c>
      <c r="J43" s="9">
        <v>5938505.4500000002</v>
      </c>
      <c r="K43" s="9">
        <v>6</v>
      </c>
      <c r="L43" s="9"/>
      <c r="M43" s="9">
        <v>4000</v>
      </c>
      <c r="N43" s="9">
        <v>690</v>
      </c>
      <c r="O43" s="9">
        <v>0.46476340271777</v>
      </c>
      <c r="P43" s="11">
        <v>1</v>
      </c>
      <c r="Q43" s="14">
        <v>2760000</v>
      </c>
      <c r="R43" s="14">
        <v>138000</v>
      </c>
      <c r="S43" s="14">
        <v>2622000</v>
      </c>
      <c r="T43" s="9" t="s">
        <v>39</v>
      </c>
      <c r="U43" s="19">
        <f>2063520+185000</f>
        <v>2248520</v>
      </c>
      <c r="V43" s="19">
        <f t="shared" si="0"/>
        <v>27600</v>
      </c>
      <c r="W43" s="19">
        <f t="shared" si="1"/>
        <v>110400</v>
      </c>
      <c r="X43" s="19">
        <f>IF($U43&gt;12000000,0,IF($Q43+$U43&gt;12000000,ROUND((12000000-$U43)*1%,0),ROUND($Q43*1%,0)))-'[1]report-tpp-id01631'!Z43</f>
        <v>32715</v>
      </c>
      <c r="Y43" s="19">
        <f>IF($U43&gt;12000000,0,IF($Q43+$U43&gt;12000000,ROUND((12000000-$U43)*4%,0),ROUND($Q43*4%,0)))-'[1]report-tpp-id01631'!AA43</f>
        <v>130859</v>
      </c>
      <c r="Z43" s="19"/>
      <c r="AA43" s="19"/>
      <c r="AB43" s="24"/>
      <c r="AC43" s="24"/>
    </row>
    <row r="44" spans="1:29" ht="69.75" customHeight="1" thickBot="1" x14ac:dyDescent="0.25">
      <c r="A44" s="9">
        <v>29</v>
      </c>
      <c r="B44" s="10" t="s">
        <v>175</v>
      </c>
      <c r="C44" s="12" t="s">
        <v>176</v>
      </c>
      <c r="D44" s="9" t="s">
        <v>154</v>
      </c>
      <c r="E44" s="9" t="s">
        <v>177</v>
      </c>
      <c r="F44" s="9" t="s">
        <v>234</v>
      </c>
      <c r="G44" s="9" t="s">
        <v>178</v>
      </c>
      <c r="H44" s="12" t="s">
        <v>179</v>
      </c>
      <c r="I44" s="9" t="s">
        <v>38</v>
      </c>
      <c r="J44" s="9">
        <v>5938505.4500000002</v>
      </c>
      <c r="K44" s="9">
        <v>6</v>
      </c>
      <c r="L44" s="9"/>
      <c r="M44" s="9">
        <v>4000</v>
      </c>
      <c r="N44" s="9">
        <v>690</v>
      </c>
      <c r="O44" s="9">
        <v>0.46476340271777</v>
      </c>
      <c r="P44" s="11">
        <v>1</v>
      </c>
      <c r="Q44" s="14">
        <v>2760000</v>
      </c>
      <c r="R44" s="14">
        <v>138000</v>
      </c>
      <c r="S44" s="14">
        <v>2622000</v>
      </c>
      <c r="T44" s="9" t="s">
        <v>39</v>
      </c>
      <c r="U44" s="19">
        <f>2063520+185000</f>
        <v>2248520</v>
      </c>
      <c r="V44" s="19">
        <f t="shared" si="0"/>
        <v>27600</v>
      </c>
      <c r="W44" s="19">
        <f t="shared" si="1"/>
        <v>110400</v>
      </c>
      <c r="X44" s="19">
        <f>IF($U44&gt;12000000,0,IF($Q44+$U44&gt;12000000,ROUND((12000000-$U44)*1%,0),ROUND($Q44*1%,0)))-'[1]report-tpp-id01631'!Z44</f>
        <v>32646</v>
      </c>
      <c r="Y44" s="19">
        <f>IF($U44&gt;12000000,0,IF($Q44+$U44&gt;12000000,ROUND((12000000-$U44)*4%,0),ROUND($Q44*4%,0)))-'[1]report-tpp-id01631'!AA44</f>
        <v>130583</v>
      </c>
      <c r="Z44" s="19"/>
      <c r="AA44" s="19"/>
      <c r="AB44" s="24"/>
      <c r="AC44" s="24"/>
    </row>
    <row r="45" spans="1:29" ht="69.75" customHeight="1" thickBot="1" x14ac:dyDescent="0.25">
      <c r="A45" s="9">
        <v>30</v>
      </c>
      <c r="B45" s="10" t="s">
        <v>180</v>
      </c>
      <c r="C45" s="12" t="s">
        <v>181</v>
      </c>
      <c r="D45" s="9" t="s">
        <v>182</v>
      </c>
      <c r="E45" s="9" t="s">
        <v>183</v>
      </c>
      <c r="F45" s="9" t="s">
        <v>234</v>
      </c>
      <c r="G45" s="9" t="s">
        <v>184</v>
      </c>
      <c r="H45" s="12" t="s">
        <v>131</v>
      </c>
      <c r="I45" s="9" t="s">
        <v>38</v>
      </c>
      <c r="J45" s="9">
        <v>5938505.4500000002</v>
      </c>
      <c r="K45" s="9">
        <v>6</v>
      </c>
      <c r="L45" s="9"/>
      <c r="M45" s="9">
        <v>4000</v>
      </c>
      <c r="N45" s="9">
        <v>690</v>
      </c>
      <c r="O45" s="9">
        <v>0.46476340271777</v>
      </c>
      <c r="P45" s="11">
        <v>1</v>
      </c>
      <c r="Q45" s="14">
        <v>2760000</v>
      </c>
      <c r="R45" s="14">
        <v>0</v>
      </c>
      <c r="S45" s="14">
        <v>2760000</v>
      </c>
      <c r="T45" s="9" t="s">
        <v>39</v>
      </c>
      <c r="U45" s="19">
        <f>3615510+180000</f>
        <v>3795510</v>
      </c>
      <c r="V45" s="19">
        <f t="shared" si="0"/>
        <v>27600</v>
      </c>
      <c r="W45" s="19">
        <f t="shared" si="1"/>
        <v>110400</v>
      </c>
      <c r="X45" s="19">
        <f>IF($U45&gt;12000000,0,IF($Q45+$U45&gt;12000000,ROUND((12000000-$U45)*1%,0),ROUND($Q45*1%,0)))-'[1]report-tpp-id01631'!Z45</f>
        <v>17245</v>
      </c>
      <c r="Y45" s="19">
        <f>IF($U45&gt;12000000,0,IF($Q45+$U45&gt;12000000,ROUND((12000000-$U45)*4%,0),ROUND($Q45*4%,0)))-'[1]report-tpp-id01631'!AA45</f>
        <v>68980</v>
      </c>
      <c r="Z45" s="19"/>
      <c r="AA45" s="19"/>
      <c r="AB45" s="24"/>
      <c r="AC45" s="24"/>
    </row>
    <row r="46" spans="1:29" ht="69.75" customHeight="1" thickBot="1" x14ac:dyDescent="0.25">
      <c r="A46" s="9">
        <v>31</v>
      </c>
      <c r="B46" s="10" t="s">
        <v>185</v>
      </c>
      <c r="C46" s="12" t="s">
        <v>186</v>
      </c>
      <c r="D46" s="9" t="s">
        <v>182</v>
      </c>
      <c r="E46" s="9" t="s">
        <v>187</v>
      </c>
      <c r="F46" s="9" t="s">
        <v>234</v>
      </c>
      <c r="G46" s="9" t="s">
        <v>188</v>
      </c>
      <c r="H46" s="12" t="s">
        <v>189</v>
      </c>
      <c r="I46" s="9" t="s">
        <v>38</v>
      </c>
      <c r="J46" s="9">
        <v>5938505.4500000002</v>
      </c>
      <c r="K46" s="9">
        <v>6</v>
      </c>
      <c r="L46" s="9"/>
      <c r="M46" s="9">
        <v>4000</v>
      </c>
      <c r="N46" s="9">
        <v>690</v>
      </c>
      <c r="O46" s="9">
        <v>0.46476340271777</v>
      </c>
      <c r="P46" s="11">
        <v>1</v>
      </c>
      <c r="Q46" s="14">
        <v>2760000</v>
      </c>
      <c r="R46" s="14">
        <v>0</v>
      </c>
      <c r="S46" s="14">
        <v>2760000</v>
      </c>
      <c r="T46" s="9" t="s">
        <v>39</v>
      </c>
      <c r="U46" s="19">
        <f>3615510+180000</f>
        <v>3795510</v>
      </c>
      <c r="V46" s="19">
        <f t="shared" si="0"/>
        <v>27600</v>
      </c>
      <c r="W46" s="19">
        <f t="shared" si="1"/>
        <v>110400</v>
      </c>
      <c r="X46" s="19">
        <f>IF($U46&gt;12000000,0,IF($Q46+$U46&gt;12000000,ROUND((12000000-$U46)*1%,0),ROUND($Q46*1%,0)))-'[1]report-tpp-id01631'!Z46</f>
        <v>17245</v>
      </c>
      <c r="Y46" s="19">
        <f>IF($U46&gt;12000000,0,IF($Q46+$U46&gt;12000000,ROUND((12000000-$U46)*4%,0),ROUND($Q46*4%,0)))-'[1]report-tpp-id01631'!AA46</f>
        <v>68980</v>
      </c>
      <c r="Z46" s="19"/>
      <c r="AA46" s="19"/>
      <c r="AB46" s="24"/>
      <c r="AC46" s="24"/>
    </row>
    <row r="47" spans="1:29" ht="69.75" customHeight="1" thickBot="1" x14ac:dyDescent="0.25">
      <c r="A47" s="9">
        <v>32</v>
      </c>
      <c r="B47" s="10" t="s">
        <v>190</v>
      </c>
      <c r="C47" s="12" t="s">
        <v>191</v>
      </c>
      <c r="D47" s="9" t="s">
        <v>182</v>
      </c>
      <c r="E47" s="9" t="s">
        <v>192</v>
      </c>
      <c r="F47" s="9" t="s">
        <v>234</v>
      </c>
      <c r="G47" s="9" t="s">
        <v>193</v>
      </c>
      <c r="H47" s="12" t="s">
        <v>145</v>
      </c>
      <c r="I47" s="9" t="s">
        <v>38</v>
      </c>
      <c r="J47" s="9">
        <v>4952532.21</v>
      </c>
      <c r="K47" s="9">
        <v>5</v>
      </c>
      <c r="L47" s="9"/>
      <c r="M47" s="9">
        <v>4000</v>
      </c>
      <c r="N47" s="9">
        <v>490</v>
      </c>
      <c r="O47" s="9">
        <v>0.39575714339473</v>
      </c>
      <c r="P47" s="11">
        <v>1</v>
      </c>
      <c r="Q47" s="14">
        <v>1960000</v>
      </c>
      <c r="R47" s="14">
        <v>0</v>
      </c>
      <c r="S47" s="14">
        <v>1960000</v>
      </c>
      <c r="T47" s="9" t="s">
        <v>39</v>
      </c>
      <c r="U47" s="19">
        <f>3234930+180000</f>
        <v>3414930</v>
      </c>
      <c r="V47" s="19">
        <f t="shared" si="0"/>
        <v>19600</v>
      </c>
      <c r="W47" s="19">
        <f t="shared" si="1"/>
        <v>78400</v>
      </c>
      <c r="X47" s="19">
        <f>IF($U47&gt;12000000,0,IF($Q47+$U47&gt;12000000,ROUND((12000000-$U47)*1%,0),ROUND($Q47*1%,0)))-'[1]report-tpp-id01631'!Z47</f>
        <v>5051</v>
      </c>
      <c r="Y47" s="19">
        <f>IF($U47&gt;12000000,0,IF($Q47+$U47&gt;12000000,ROUND((12000000-$U47)*4%,0),ROUND($Q47*4%,0)))-'[1]report-tpp-id01631'!AA47</f>
        <v>20203</v>
      </c>
      <c r="Z47" s="19"/>
      <c r="AA47" s="19"/>
      <c r="AB47" s="24"/>
      <c r="AC47" s="24"/>
    </row>
    <row r="48" spans="1:29" ht="69.75" customHeight="1" thickBot="1" x14ac:dyDescent="0.25">
      <c r="A48" s="9">
        <v>33</v>
      </c>
      <c r="B48" s="10" t="s">
        <v>194</v>
      </c>
      <c r="C48" s="12" t="s">
        <v>195</v>
      </c>
      <c r="D48" s="9" t="s">
        <v>182</v>
      </c>
      <c r="E48" s="9" t="s">
        <v>196</v>
      </c>
      <c r="F48" s="9" t="s">
        <v>234</v>
      </c>
      <c r="G48" s="9" t="s">
        <v>197</v>
      </c>
      <c r="H48" s="12" t="s">
        <v>145</v>
      </c>
      <c r="I48" s="9" t="s">
        <v>38</v>
      </c>
      <c r="J48" s="9">
        <v>4952532.21</v>
      </c>
      <c r="K48" s="9">
        <v>5</v>
      </c>
      <c r="L48" s="9"/>
      <c r="M48" s="9">
        <v>4000</v>
      </c>
      <c r="N48" s="9">
        <v>490</v>
      </c>
      <c r="O48" s="9">
        <v>0.39575714339473</v>
      </c>
      <c r="P48" s="11">
        <v>1</v>
      </c>
      <c r="Q48" s="14">
        <v>1960000</v>
      </c>
      <c r="R48" s="14">
        <v>0</v>
      </c>
      <c r="S48" s="14">
        <v>1960000</v>
      </c>
      <c r="T48" s="9" t="s">
        <v>39</v>
      </c>
      <c r="U48" s="19">
        <f>3398112+180000</f>
        <v>3578112</v>
      </c>
      <c r="V48" s="19">
        <f t="shared" si="0"/>
        <v>19600</v>
      </c>
      <c r="W48" s="19">
        <f t="shared" si="1"/>
        <v>78400</v>
      </c>
      <c r="X48" s="19">
        <f>IF($U48&gt;12000000,0,IF($Q48+$U48&gt;12000000,ROUND((12000000-$U48)*1%,0),ROUND($Q48*1%,0)))-'[1]report-tpp-id01631'!Z48</f>
        <v>3419</v>
      </c>
      <c r="Y48" s="19">
        <f>IF($U48&gt;12000000,0,IF($Q48+$U48&gt;12000000,ROUND((12000000-$U48)*4%,0),ROUND($Q48*4%,0)))-'[1]report-tpp-id01631'!AA48</f>
        <v>13676</v>
      </c>
      <c r="Z48" s="19"/>
      <c r="AA48" s="19"/>
      <c r="AB48" s="24"/>
      <c r="AC48" s="24"/>
    </row>
    <row r="49" spans="1:29" ht="69.75" customHeight="1" thickBot="1" x14ac:dyDescent="0.25">
      <c r="A49" s="9">
        <v>34</v>
      </c>
      <c r="B49" s="10" t="s">
        <v>198</v>
      </c>
      <c r="C49" s="12" t="s">
        <v>199</v>
      </c>
      <c r="D49" s="9" t="s">
        <v>182</v>
      </c>
      <c r="E49" s="9" t="s">
        <v>200</v>
      </c>
      <c r="F49" s="9" t="s">
        <v>234</v>
      </c>
      <c r="G49" s="9" t="s">
        <v>201</v>
      </c>
      <c r="H49" s="12" t="s">
        <v>145</v>
      </c>
      <c r="I49" s="9" t="s">
        <v>38</v>
      </c>
      <c r="J49" s="9">
        <v>4952532.21</v>
      </c>
      <c r="K49" s="9">
        <v>5</v>
      </c>
      <c r="L49" s="9"/>
      <c r="M49" s="9">
        <v>4000</v>
      </c>
      <c r="N49" s="9">
        <v>490</v>
      </c>
      <c r="O49" s="9">
        <v>0.39575714339473</v>
      </c>
      <c r="P49" s="11">
        <v>1</v>
      </c>
      <c r="Q49" s="14">
        <v>1960000</v>
      </c>
      <c r="R49" s="14">
        <v>0</v>
      </c>
      <c r="S49" s="14">
        <v>1960000</v>
      </c>
      <c r="T49" s="9" t="s">
        <v>39</v>
      </c>
      <c r="U49" s="19">
        <f>3505158+180000</f>
        <v>3685158</v>
      </c>
      <c r="V49" s="19">
        <f t="shared" si="0"/>
        <v>19600</v>
      </c>
      <c r="W49" s="19">
        <f t="shared" si="1"/>
        <v>78400</v>
      </c>
      <c r="X49" s="19">
        <f>IF($U49&gt;12000000,0,IF($Q49+$U49&gt;12000000,ROUND((12000000-$U49)*1%,0),ROUND($Q49*1%,0)))-'[1]report-tpp-id01631'!Z49</f>
        <v>2348</v>
      </c>
      <c r="Y49" s="19">
        <f>IF($U49&gt;12000000,0,IF($Q49+$U49&gt;12000000,ROUND((12000000-$U49)*4%,0),ROUND($Q49*4%,0)))-'[1]report-tpp-id01631'!AA49</f>
        <v>9394</v>
      </c>
      <c r="Z49" s="19"/>
      <c r="AA49" s="19"/>
      <c r="AB49" s="24"/>
      <c r="AC49" s="24"/>
    </row>
    <row r="50" spans="1:29" ht="69.75" customHeight="1" thickBot="1" x14ac:dyDescent="0.25">
      <c r="A50" s="9">
        <v>35</v>
      </c>
      <c r="B50" s="10" t="s">
        <v>202</v>
      </c>
      <c r="C50" s="12" t="s">
        <v>203</v>
      </c>
      <c r="D50" s="9" t="s">
        <v>182</v>
      </c>
      <c r="E50" s="9" t="s">
        <v>204</v>
      </c>
      <c r="F50" s="9" t="s">
        <v>234</v>
      </c>
      <c r="G50" s="9" t="s">
        <v>205</v>
      </c>
      <c r="H50" s="12" t="s">
        <v>37</v>
      </c>
      <c r="I50" s="9" t="s">
        <v>38</v>
      </c>
      <c r="J50" s="9">
        <v>6833814.4699999997</v>
      </c>
      <c r="K50" s="9">
        <v>7</v>
      </c>
      <c r="L50" s="9"/>
      <c r="M50" s="9">
        <v>4000</v>
      </c>
      <c r="N50" s="9">
        <v>890</v>
      </c>
      <c r="O50" s="9">
        <v>0.52093893031895999</v>
      </c>
      <c r="P50" s="11">
        <v>1</v>
      </c>
      <c r="Q50" s="14">
        <v>3560000</v>
      </c>
      <c r="R50" s="14">
        <v>0</v>
      </c>
      <c r="S50" s="14">
        <v>3560000</v>
      </c>
      <c r="T50" s="9" t="s">
        <v>39</v>
      </c>
      <c r="U50" s="19">
        <f>2716000+180000</f>
        <v>2896000</v>
      </c>
      <c r="V50" s="19">
        <f t="shared" si="0"/>
        <v>35600</v>
      </c>
      <c r="W50" s="19">
        <f t="shared" si="1"/>
        <v>142400</v>
      </c>
      <c r="X50" s="19">
        <f>IF($U50&gt;12000000,0,IF($Q50+$U50&gt;12000000,ROUND((12000000-$U50)*1%,0),ROUND($Q50*1%,0)))-'[1]report-tpp-id01631'!Z50</f>
        <v>43069</v>
      </c>
      <c r="Y50" s="19">
        <f>IF($U50&gt;12000000,0,IF($Q50+$U50&gt;12000000,ROUND((12000000-$U50)*4%,0),ROUND($Q50*4%,0)))-'[1]report-tpp-id01631'!AA50</f>
        <v>172276</v>
      </c>
      <c r="Z50" s="19"/>
      <c r="AA50" s="19"/>
      <c r="AB50" s="24"/>
      <c r="AC50" s="24"/>
    </row>
    <row r="51" spans="1:29" ht="69.75" customHeight="1" thickBot="1" x14ac:dyDescent="0.25">
      <c r="A51" s="9">
        <v>36</v>
      </c>
      <c r="B51" s="10" t="s">
        <v>206</v>
      </c>
      <c r="C51" s="12" t="s">
        <v>207</v>
      </c>
      <c r="D51" s="9" t="s">
        <v>208</v>
      </c>
      <c r="E51" s="9" t="s">
        <v>209</v>
      </c>
      <c r="F51" s="9" t="s">
        <v>234</v>
      </c>
      <c r="G51" s="9" t="s">
        <v>210</v>
      </c>
      <c r="H51" s="12" t="s">
        <v>179</v>
      </c>
      <c r="I51" s="9" t="s">
        <v>146</v>
      </c>
      <c r="J51" s="9">
        <v>5938505.4500000002</v>
      </c>
      <c r="K51" s="9">
        <v>6</v>
      </c>
      <c r="L51" s="9"/>
      <c r="M51" s="9">
        <v>4000</v>
      </c>
      <c r="N51" s="9">
        <v>690</v>
      </c>
      <c r="O51" s="9">
        <v>0.46476340271777</v>
      </c>
      <c r="P51" s="11">
        <v>1</v>
      </c>
      <c r="Q51" s="14">
        <v>2622000</v>
      </c>
      <c r="R51" s="14">
        <v>0</v>
      </c>
      <c r="S51" s="14">
        <v>2622000</v>
      </c>
      <c r="T51" s="9" t="s">
        <v>39</v>
      </c>
      <c r="U51" s="19">
        <f>3407936+180000</f>
        <v>3587936</v>
      </c>
      <c r="V51" s="19">
        <f t="shared" si="0"/>
        <v>26220</v>
      </c>
      <c r="W51" s="19">
        <f t="shared" si="1"/>
        <v>104880</v>
      </c>
      <c r="X51" s="19">
        <f>IF($U51&gt;12000000,0,IF($Q51+$U51&gt;12000000,ROUND((12000000-$U51)*1%,0),ROUND($Q51*1%,0)))-'[1]report-tpp-id01631'!Z51</f>
        <v>11582</v>
      </c>
      <c r="Y51" s="19">
        <f>IF($U51&gt;12000000,0,IF($Q51+$U51&gt;12000000,ROUND((12000000-$U51)*4%,0),ROUND($Q51*4%,0)))-'[1]report-tpp-id01631'!AA51</f>
        <v>46329</v>
      </c>
      <c r="Z51" s="19"/>
      <c r="AA51" s="19"/>
      <c r="AB51" s="24"/>
      <c r="AC51" s="24"/>
    </row>
    <row r="52" spans="1:29" ht="69.75" customHeight="1" thickBot="1" x14ac:dyDescent="0.25">
      <c r="A52" s="9">
        <v>37</v>
      </c>
      <c r="B52" s="10" t="s">
        <v>211</v>
      </c>
      <c r="C52" s="12" t="s">
        <v>212</v>
      </c>
      <c r="D52" s="9" t="s">
        <v>213</v>
      </c>
      <c r="E52" s="9" t="s">
        <v>214</v>
      </c>
      <c r="F52" s="9" t="s">
        <v>234</v>
      </c>
      <c r="G52" s="9" t="s">
        <v>215</v>
      </c>
      <c r="H52" s="12" t="s">
        <v>131</v>
      </c>
      <c r="I52" s="9" t="s">
        <v>146</v>
      </c>
      <c r="J52" s="9">
        <v>5938505.4500000002</v>
      </c>
      <c r="K52" s="9">
        <v>6</v>
      </c>
      <c r="L52" s="9"/>
      <c r="M52" s="9">
        <v>4000</v>
      </c>
      <c r="N52" s="9">
        <v>690</v>
      </c>
      <c r="O52" s="9">
        <v>0.46476340271777</v>
      </c>
      <c r="P52" s="11">
        <v>1</v>
      </c>
      <c r="Q52" s="14">
        <v>2622000</v>
      </c>
      <c r="R52" s="14">
        <v>0</v>
      </c>
      <c r="S52" s="14">
        <v>2622000</v>
      </c>
      <c r="T52" s="9" t="s">
        <v>39</v>
      </c>
      <c r="U52" s="19">
        <f>2743800+180000</f>
        <v>2923800</v>
      </c>
      <c r="V52" s="19">
        <f t="shared" si="0"/>
        <v>26220</v>
      </c>
      <c r="W52" s="19">
        <f t="shared" si="1"/>
        <v>104880</v>
      </c>
      <c r="X52" s="19">
        <f>IF($U52&gt;12000000,0,IF($Q52+$U52&gt;12000000,ROUND((12000000-$U52)*1%,0),ROUND($Q52*1%,0)))-'[1]report-tpp-id01631'!Z52</f>
        <v>17389</v>
      </c>
      <c r="Y52" s="19">
        <f>IF($U52&gt;12000000,0,IF($Q52+$U52&gt;12000000,ROUND((12000000-$U52)*4%,0),ROUND($Q52*4%,0)))-'[1]report-tpp-id01631'!AA52</f>
        <v>69555</v>
      </c>
      <c r="Z52" s="19"/>
      <c r="AA52" s="19"/>
      <c r="AB52" s="24"/>
      <c r="AC52" s="24"/>
    </row>
    <row r="53" spans="1:29" ht="69.75" customHeight="1" thickBot="1" x14ac:dyDescent="0.25">
      <c r="A53" s="9">
        <v>38</v>
      </c>
      <c r="B53" s="10" t="s">
        <v>216</v>
      </c>
      <c r="C53" s="12" t="s">
        <v>217</v>
      </c>
      <c r="D53" s="9" t="s">
        <v>213</v>
      </c>
      <c r="E53" s="9" t="s">
        <v>218</v>
      </c>
      <c r="F53" s="9" t="s">
        <v>234</v>
      </c>
      <c r="G53" s="9" t="s">
        <v>219</v>
      </c>
      <c r="H53" s="12" t="s">
        <v>145</v>
      </c>
      <c r="I53" s="9" t="s">
        <v>220</v>
      </c>
      <c r="J53" s="9">
        <v>4952532.21</v>
      </c>
      <c r="K53" s="9">
        <v>5</v>
      </c>
      <c r="L53" s="9"/>
      <c r="M53" s="9">
        <v>4000</v>
      </c>
      <c r="N53" s="9">
        <v>490</v>
      </c>
      <c r="O53" s="9">
        <v>0.39575714339473</v>
      </c>
      <c r="P53" s="11">
        <v>1</v>
      </c>
      <c r="Q53" s="14">
        <v>1940400</v>
      </c>
      <c r="R53" s="14">
        <v>0</v>
      </c>
      <c r="S53" s="14">
        <v>1940400</v>
      </c>
      <c r="T53" s="9" t="s">
        <v>39</v>
      </c>
      <c r="U53" s="19">
        <f>2743800+180000</f>
        <v>2923800</v>
      </c>
      <c r="V53" s="19">
        <f t="shared" si="0"/>
        <v>19404</v>
      </c>
      <c r="W53" s="19">
        <f t="shared" si="1"/>
        <v>77616</v>
      </c>
      <c r="X53" s="19">
        <f>IF($U53&gt;12000000,0,IF($Q53+$U53&gt;12000000,ROUND((12000000-$U53)*1%,0),ROUND($Q53*1%,0)))-'[1]report-tpp-id01631'!Z53</f>
        <v>16110</v>
      </c>
      <c r="Y53" s="19">
        <f>IF($U53&gt;12000000,0,IF($Q53+$U53&gt;12000000,ROUND((12000000-$U53)*4%,0),ROUND($Q53*4%,0)))-'[1]report-tpp-id01631'!AA53</f>
        <v>64440</v>
      </c>
      <c r="Z53" s="19"/>
      <c r="AA53" s="19"/>
      <c r="AB53" s="24"/>
      <c r="AC53" s="24"/>
    </row>
    <row r="54" spans="1:29" ht="69.75" customHeight="1" thickBot="1" x14ac:dyDescent="0.25">
      <c r="A54" s="9">
        <v>39</v>
      </c>
      <c r="B54" s="10" t="s">
        <v>221</v>
      </c>
      <c r="C54" s="12" t="s">
        <v>222</v>
      </c>
      <c r="D54" s="9" t="s">
        <v>213</v>
      </c>
      <c r="E54" s="9" t="s">
        <v>223</v>
      </c>
      <c r="F54" s="9" t="s">
        <v>234</v>
      </c>
      <c r="G54" s="9" t="s">
        <v>224</v>
      </c>
      <c r="H54" s="12" t="s">
        <v>151</v>
      </c>
      <c r="I54" s="9" t="s">
        <v>225</v>
      </c>
      <c r="J54" s="9">
        <v>4952532.21</v>
      </c>
      <c r="K54" s="9">
        <v>5</v>
      </c>
      <c r="L54" s="9"/>
      <c r="M54" s="9">
        <v>4000</v>
      </c>
      <c r="N54" s="9">
        <v>490</v>
      </c>
      <c r="O54" s="9">
        <v>0.39575714339473</v>
      </c>
      <c r="P54" s="11">
        <v>1</v>
      </c>
      <c r="Q54" s="14">
        <v>1955100</v>
      </c>
      <c r="R54" s="14">
        <v>0</v>
      </c>
      <c r="S54" s="14">
        <v>1955100</v>
      </c>
      <c r="T54" s="9" t="s">
        <v>39</v>
      </c>
      <c r="U54" s="19">
        <f>2631664+180000</f>
        <v>2811664</v>
      </c>
      <c r="V54" s="19">
        <f t="shared" si="0"/>
        <v>19551</v>
      </c>
      <c r="W54" s="19">
        <f t="shared" si="1"/>
        <v>78204</v>
      </c>
      <c r="X54" s="19">
        <f>IF($U54&gt;12000000,0,IF($Q54+$U54&gt;12000000,ROUND((12000000-$U54)*1%,0),ROUND($Q54*1%,0)))-'[1]report-tpp-id01631'!Z54</f>
        <v>9913</v>
      </c>
      <c r="Y54" s="19">
        <f>IF($U54&gt;12000000,0,IF($Q54+$U54&gt;12000000,ROUND((12000000-$U54)*4%,0),ROUND($Q54*4%,0)))-'[1]report-tpp-id01631'!AA54</f>
        <v>39652</v>
      </c>
      <c r="Z54" s="19"/>
      <c r="AA54" s="19"/>
      <c r="AB54" s="24"/>
      <c r="AC54" s="24"/>
    </row>
    <row r="55" spans="1:29" ht="57.75" customHeight="1" thickBot="1" x14ac:dyDescent="0.25">
      <c r="A55" s="26" t="s">
        <v>226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15">
        <v>166379800</v>
      </c>
      <c r="R55" s="15">
        <v>12172015</v>
      </c>
      <c r="S55" s="15">
        <v>154207785</v>
      </c>
      <c r="T55" s="13"/>
      <c r="U55" s="25">
        <f>SUM(U16:U54)</f>
        <v>169402274</v>
      </c>
      <c r="V55" s="21">
        <f t="shared" ref="V55:Y55" si="2">SUM(V16:V54)</f>
        <v>1476035</v>
      </c>
      <c r="W55" s="21">
        <f t="shared" si="2"/>
        <v>5904139</v>
      </c>
      <c r="X55" s="20">
        <f t="shared" si="2"/>
        <v>1476013</v>
      </c>
      <c r="Y55" s="21">
        <f t="shared" si="2"/>
        <v>5904059</v>
      </c>
      <c r="Z55" s="20">
        <f>SUM(Z16:Z54)</f>
        <v>-12273</v>
      </c>
      <c r="AA55" s="21">
        <f>SUM(AA16:AA54)</f>
        <v>-49088</v>
      </c>
      <c r="AB55" s="24"/>
      <c r="AC55" s="24"/>
    </row>
    <row r="56" spans="1:29" ht="1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9" x14ac:dyDescent="0.2">
      <c r="AB57" s="24"/>
      <c r="AC57" s="24"/>
    </row>
    <row r="58" spans="1:29" x14ac:dyDescent="0.2">
      <c r="C58" s="4" t="s">
        <v>235</v>
      </c>
      <c r="T58" s="4"/>
      <c r="Z58" s="4" t="s">
        <v>239</v>
      </c>
    </row>
    <row r="59" spans="1:29" x14ac:dyDescent="0.2">
      <c r="C59" s="4" t="s">
        <v>236</v>
      </c>
      <c r="T59" s="4"/>
      <c r="Z59" s="4" t="s">
        <v>240</v>
      </c>
    </row>
    <row r="60" spans="1:29" x14ac:dyDescent="0.2">
      <c r="C60" s="5"/>
      <c r="T60" s="4"/>
      <c r="Z60" s="4"/>
    </row>
    <row r="61" spans="1:29" x14ac:dyDescent="0.2">
      <c r="C61" s="5"/>
      <c r="T61" s="4"/>
      <c r="Z61" s="4"/>
    </row>
    <row r="62" spans="1:29" x14ac:dyDescent="0.2">
      <c r="C62" s="6"/>
      <c r="T62" s="4"/>
      <c r="Z62" s="4"/>
    </row>
    <row r="63" spans="1:29" x14ac:dyDescent="0.2">
      <c r="C63" s="6"/>
      <c r="T63" s="4"/>
      <c r="Z63" s="4"/>
    </row>
    <row r="64" spans="1:29" ht="15.75" x14ac:dyDescent="0.25">
      <c r="C64" s="7" t="s">
        <v>46</v>
      </c>
      <c r="T64" s="8"/>
      <c r="Z64" s="8" t="s">
        <v>241</v>
      </c>
    </row>
    <row r="65" spans="3:26" x14ac:dyDescent="0.2">
      <c r="C65" s="4" t="s">
        <v>237</v>
      </c>
      <c r="T65" s="4"/>
      <c r="Z65" s="4" t="s">
        <v>242</v>
      </c>
    </row>
    <row r="66" spans="3:26" x14ac:dyDescent="0.2">
      <c r="C66" s="5" t="s">
        <v>238</v>
      </c>
      <c r="T66" s="4"/>
      <c r="Z66" s="4" t="s">
        <v>243</v>
      </c>
    </row>
  </sheetData>
  <mergeCells count="14">
    <mergeCell ref="A55:P55"/>
    <mergeCell ref="A56:T56"/>
    <mergeCell ref="B2:T2"/>
    <mergeCell ref="B3:T3"/>
    <mergeCell ref="B4:T4"/>
    <mergeCell ref="B5:T5"/>
    <mergeCell ref="B6:T6"/>
    <mergeCell ref="B7:T7"/>
    <mergeCell ref="A8:T8"/>
    <mergeCell ref="C9:T9"/>
    <mergeCell ref="C10:T10"/>
    <mergeCell ref="C11:T11"/>
    <mergeCell ref="C12:T12"/>
    <mergeCell ref="C13:T13"/>
  </mergeCells>
  <pageMargins left="1.25" right="0.75" top="0.5" bottom="0.5" header="0.5" footer="0.5"/>
  <pageSetup paperSize="39" scale="33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report-tpp-id01636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BKD</dc:creator>
  <cp:lastModifiedBy>BKD</cp:lastModifiedBy>
  <cp:lastPrinted>2022-04-04T00:42:24Z</cp:lastPrinted>
  <dcterms:created xsi:type="dcterms:W3CDTF">2022-04-02T09:11:45Z</dcterms:created>
  <dcterms:modified xsi:type="dcterms:W3CDTF">2022-04-04T02:42:39Z</dcterms:modified>
</cp:coreProperties>
</file>