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15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uario\Dropbox\Asig_ENX_INF\OXE_ENX.INFORMATICA_PARTE FINANZAS\TEMA 5_Fundamentos de calculo financiero\"/>
    </mc:Choice>
  </mc:AlternateContent>
  <xr:revisionPtr revIDLastSave="0" documentId="8_{C85085C7-D95F-4E6B-8EC7-B6A73C979575}" xr6:coauthVersionLast="47" xr6:coauthVersionMax="47" xr10:uidLastSave="{00000000-0000-0000-0000-000000000000}"/>
  <bookViews>
    <workbookView xWindow="-110" yWindow="-110" windowWidth="19420" windowHeight="10420" tabRatio="785" firstSheet="3" activeTab="3" xr2:uid="{00000000-000D-0000-FFFF-FFFF00000000}"/>
  </bookViews>
  <sheets>
    <sheet name="Ejemplos_exp" sheetId="9" r:id="rId1"/>
    <sheet name="bloque 1" sheetId="1" r:id="rId2"/>
    <sheet name="bloque 2" sheetId="2" r:id="rId3"/>
    <sheet name="bloque 3" sheetId="3" r:id="rId4"/>
    <sheet name="bloque 4" sheetId="7" r:id="rId5"/>
    <sheet name="bloque 5" sheetId="13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7" i="3" l="1"/>
  <c r="H63" i="3"/>
  <c r="H59" i="3"/>
  <c r="H55" i="3"/>
  <c r="H30" i="3"/>
  <c r="H10" i="3"/>
  <c r="H9" i="3"/>
  <c r="E12" i="3"/>
  <c r="E7" i="3"/>
  <c r="H4" i="3"/>
  <c r="H5" i="3"/>
  <c r="H24" i="2"/>
  <c r="H19" i="2"/>
  <c r="H14" i="2"/>
  <c r="H9" i="2"/>
  <c r="H5" i="2"/>
  <c r="H4" i="2"/>
  <c r="H50" i="1"/>
  <c r="H47" i="1"/>
  <c r="E50" i="1"/>
  <c r="H46" i="1"/>
  <c r="H48" i="1" s="1"/>
  <c r="H41" i="1"/>
  <c r="H38" i="1"/>
  <c r="H36" i="1"/>
  <c r="C24" i="1"/>
  <c r="C25" i="1"/>
  <c r="C23" i="1"/>
  <c r="D23" i="1"/>
  <c r="H33" i="1"/>
  <c r="H31" i="1"/>
  <c r="D26" i="1"/>
  <c r="H26" i="1"/>
  <c r="H24" i="1"/>
  <c r="H25" i="1"/>
  <c r="G24" i="1"/>
  <c r="G25" i="1"/>
  <c r="G23" i="1"/>
  <c r="H23" i="1"/>
  <c r="G22" i="1"/>
  <c r="H18" i="1"/>
  <c r="C22" i="1"/>
  <c r="D24" i="1"/>
  <c r="D25" i="1"/>
  <c r="H16" i="1"/>
  <c r="H12" i="1"/>
  <c r="H10" i="1"/>
  <c r="E12" i="1"/>
  <c r="H5" i="1"/>
  <c r="E80" i="7"/>
  <c r="E14" i="7"/>
  <c r="E9" i="7"/>
  <c r="B36" i="9"/>
  <c r="B37" i="9"/>
  <c r="B38" i="9"/>
  <c r="B39" i="9"/>
  <c r="B40" i="9"/>
  <c r="B41" i="9"/>
  <c r="B42" i="9"/>
  <c r="B43" i="9"/>
  <c r="B44" i="9"/>
  <c r="B45" i="9"/>
  <c r="E45" i="9"/>
  <c r="D45" i="9"/>
  <c r="C45" i="9"/>
  <c r="E44" i="9"/>
  <c r="D44" i="9"/>
  <c r="C44" i="9"/>
  <c r="E43" i="9"/>
  <c r="D43" i="9"/>
  <c r="C43" i="9"/>
  <c r="E42" i="9"/>
  <c r="D42" i="9"/>
  <c r="C42" i="9"/>
  <c r="E41" i="9"/>
  <c r="D41" i="9"/>
  <c r="C41" i="9"/>
  <c r="E40" i="9"/>
  <c r="D40" i="9"/>
  <c r="C40" i="9"/>
  <c r="E39" i="9"/>
  <c r="D39" i="9"/>
  <c r="C39" i="9"/>
  <c r="E38" i="9"/>
  <c r="D38" i="9"/>
  <c r="C38" i="9"/>
  <c r="E37" i="9"/>
  <c r="D37" i="9"/>
  <c r="C37" i="9"/>
  <c r="E36" i="9"/>
  <c r="D36" i="9"/>
  <c r="C36" i="9"/>
  <c r="C12" i="9"/>
  <c r="D13" i="9"/>
  <c r="D14" i="9"/>
  <c r="D15" i="9"/>
  <c r="D16" i="9"/>
  <c r="D17" i="9"/>
  <c r="D18" i="9"/>
  <c r="D19" i="9"/>
  <c r="D20" i="9"/>
  <c r="D21" i="9"/>
  <c r="D12" i="9"/>
  <c r="C13" i="9"/>
  <c r="C14" i="9"/>
  <c r="C15" i="9"/>
  <c r="C16" i="9"/>
  <c r="C17" i="9"/>
  <c r="C18" i="9"/>
  <c r="C19" i="9"/>
  <c r="C20" i="9"/>
  <c r="C21" i="9"/>
  <c r="D11" i="9"/>
  <c r="C11" i="9"/>
  <c r="E47" i="9"/>
  <c r="E115" i="3"/>
  <c r="E107" i="3"/>
  <c r="E104" i="3"/>
  <c r="E105" i="3"/>
  <c r="E106" i="3" s="1"/>
  <c r="C35" i="9"/>
  <c r="B35" i="9"/>
  <c r="E35" i="9"/>
  <c r="D35" i="9"/>
  <c r="A84" i="3"/>
  <c r="Q13" i="3"/>
  <c r="S13" i="3" s="1"/>
  <c r="E49" i="3"/>
  <c r="S14" i="3" l="1"/>
</calcChain>
</file>

<file path=xl/sharedStrings.xml><?xml version="1.0" encoding="utf-8"?>
<sst xmlns="http://schemas.openxmlformats.org/spreadsheetml/2006/main" count="645" uniqueCount="237">
  <si>
    <t xml:space="preserve">EJEMPLO DE CAPITALIZACIÓN </t>
  </si>
  <si>
    <t>Tipo de interés (i)</t>
  </si>
  <si>
    <r>
      <t>Capital inicial (C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</t>
    </r>
  </si>
  <si>
    <t>Disponible</t>
  </si>
  <si>
    <t>vencimiento</t>
  </si>
  <si>
    <r>
      <t>C</t>
    </r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 xml:space="preserve"> (LCS)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</si>
  <si>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 xml:space="preserve"> (LCC)</t>
    </r>
  </si>
  <si>
    <t>dentro de 1 año</t>
  </si>
  <si>
    <t>dentro de 2 años</t>
  </si>
  <si>
    <t>….</t>
  </si>
  <si>
    <t>dentro de 10 años</t>
  </si>
  <si>
    <t xml:space="preserve">EJEMPLO DE DESCUENTO </t>
  </si>
  <si>
    <r>
      <t>C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 (LDSR)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</si>
  <si>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 (LDSC)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</si>
  <si>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 (LDC)</t>
    </r>
  </si>
  <si>
    <t>un año antes</t>
  </si>
  <si>
    <t>dos años antes</t>
  </si>
  <si>
    <t>………..</t>
  </si>
  <si>
    <t>hoy</t>
  </si>
  <si>
    <t>comprobamos que si capitalizamos (LCC) €3.855,4 al 10% durante 10 años:</t>
  </si>
  <si>
    <t>BLOQUE  1</t>
  </si>
  <si>
    <t>Nota 1: en los ejercicios en excel, sombrea en verde las celdas de entrada de datos (input) y en amarillo la celda con la función empleada para resolver el ejercicio (output)</t>
  </si>
  <si>
    <t>Nota 2: Las celdas han de tener el formato adecuado según el dato que incluyen (importes en €, interés en %, plazo en años, meses,… Revisa el menú "Formato celda"</t>
  </si>
  <si>
    <t>1.</t>
  </si>
  <si>
    <t>capital</t>
  </si>
  <si>
    <r>
      <t>C</t>
    </r>
    <r>
      <rPr>
        <vertAlign val="subscript"/>
        <sz val="12"/>
        <color theme="1"/>
        <rFont val="Calibri"/>
        <family val="2"/>
        <scheme val="minor"/>
      </rPr>
      <t>n</t>
    </r>
  </si>
  <si>
    <t>respuesta</t>
  </si>
  <si>
    <r>
      <t>se busca el capital inicial (C</t>
    </r>
    <r>
      <rPr>
        <b/>
        <vertAlign val="subscript"/>
        <sz val="12"/>
        <rFont val="Calibri"/>
        <family val="2"/>
        <scheme val="minor"/>
      </rPr>
      <t>0</t>
    </r>
    <r>
      <rPr>
        <b/>
        <sz val="12"/>
        <rFont val="Calibri"/>
        <family val="2"/>
        <scheme val="minor"/>
      </rPr>
      <t>) INTERÉS SIMPLE (LCS)</t>
    </r>
  </si>
  <si>
    <t>tipo de interés</t>
  </si>
  <si>
    <t>i</t>
  </si>
  <si>
    <t>plazo</t>
  </si>
  <si>
    <t>n</t>
  </si>
  <si>
    <t>2.</t>
  </si>
  <si>
    <r>
      <t>C</t>
    </r>
    <r>
      <rPr>
        <vertAlign val="subscript"/>
        <sz val="12"/>
        <color theme="1"/>
        <rFont val="Calibri"/>
        <family val="2"/>
        <scheme val="minor"/>
      </rPr>
      <t>0</t>
    </r>
  </si>
  <si>
    <t>este es el interés mensual (i) CONSIDERAMOS INTERÉS SIMPLE</t>
  </si>
  <si>
    <t>intereses</t>
  </si>
  <si>
    <r>
      <t>I</t>
    </r>
    <r>
      <rPr>
        <vertAlign val="subscript"/>
        <sz val="12"/>
        <color theme="1"/>
        <rFont val="Calibri"/>
        <family val="2"/>
        <scheme val="minor"/>
      </rPr>
      <t>n</t>
    </r>
  </si>
  <si>
    <t>este es el TAE (i)</t>
  </si>
  <si>
    <t xml:space="preserve">plazo </t>
  </si>
  <si>
    <t>3.</t>
  </si>
  <si>
    <t>LCS</t>
  </si>
  <si>
    <t>LCC</t>
  </si>
  <si>
    <r>
      <t>se busca el capital inicial (C</t>
    </r>
    <r>
      <rPr>
        <b/>
        <vertAlign val="subscript"/>
        <sz val="12"/>
        <rFont val="Calibri"/>
        <family val="2"/>
        <scheme val="minor"/>
      </rPr>
      <t>0</t>
    </r>
    <r>
      <rPr>
        <b/>
        <sz val="12"/>
        <rFont val="Calibri"/>
        <family val="2"/>
        <scheme val="minor"/>
      </rPr>
      <t>) INTERÉS COMPUESTO (LCC)</t>
    </r>
  </si>
  <si>
    <t>INTERÉS SIMPLE</t>
  </si>
  <si>
    <t>INTERÉS COMPUESTO</t>
  </si>
  <si>
    <t>CAPITAL</t>
  </si>
  <si>
    <t>INTERÉS</t>
  </si>
  <si>
    <t>AÑO 0</t>
  </si>
  <si>
    <t>AÑO 1</t>
  </si>
  <si>
    <t>AÑO 2</t>
  </si>
  <si>
    <t>AÑO 3</t>
  </si>
  <si>
    <r>
      <t>I</t>
    </r>
    <r>
      <rPr>
        <b/>
        <vertAlign val="subscript"/>
        <sz val="12"/>
        <color rgb="FF002060"/>
        <rFont val="Calibri"/>
        <family val="2"/>
        <scheme val="minor"/>
      </rPr>
      <t xml:space="preserve">n </t>
    </r>
    <r>
      <rPr>
        <b/>
        <sz val="12"/>
        <color rgb="FF002060"/>
        <rFont val="Calibri"/>
        <family val="2"/>
        <scheme val="minor"/>
      </rPr>
      <t>(total)</t>
    </r>
  </si>
  <si>
    <t>4.</t>
  </si>
  <si>
    <t>intereses logrados a INTERÉS SIMPLE (LCS) en 53 días</t>
  </si>
  <si>
    <t>intereses logrados a INTERÉS SIMPLE (LCS) en 6 meses</t>
  </si>
  <si>
    <t>5.</t>
  </si>
  <si>
    <t>se busca el tiempo que tarda un capital en triplicarse (n) A INTERÉS SIMPLE (LCS)</t>
  </si>
  <si>
    <t>se busca el tiempo que tarda un capital en triplicarse (n) A INTERÉS COMPUESTO (LCC)</t>
  </si>
  <si>
    <t>6.</t>
  </si>
  <si>
    <r>
      <t>se busca el capital inicial (C</t>
    </r>
    <r>
      <rPr>
        <b/>
        <vertAlign val="subscript"/>
        <sz val="12"/>
        <rFont val="Calibri"/>
        <family val="2"/>
        <scheme val="minor"/>
      </rPr>
      <t>0</t>
    </r>
    <r>
      <rPr>
        <b/>
        <sz val="12"/>
        <rFont val="Calibri"/>
        <family val="2"/>
        <scheme val="minor"/>
      </rPr>
      <t>) CONSIDERAMOS CAPITAL COMPUESTO (LCC)</t>
    </r>
  </si>
  <si>
    <t>7.</t>
  </si>
  <si>
    <r>
      <t>se busca el capital final (C</t>
    </r>
    <r>
      <rPr>
        <b/>
        <vertAlign val="subscript"/>
        <sz val="12"/>
        <rFont val="Calibri"/>
        <family val="2"/>
        <scheme val="minor"/>
      </rPr>
      <t>n</t>
    </r>
    <r>
      <rPr>
        <b/>
        <sz val="12"/>
        <rFont val="Calibri"/>
        <family val="2"/>
        <scheme val="minor"/>
      </rPr>
      <t>) CONSIDERAMOS CAPITAL SIMPLE (LCS)</t>
    </r>
  </si>
  <si>
    <r>
      <t>se buscan los intereses acumulados (I</t>
    </r>
    <r>
      <rPr>
        <b/>
        <vertAlign val="subscript"/>
        <sz val="12"/>
        <rFont val="Calibri"/>
        <family val="2"/>
        <scheme val="minor"/>
      </rPr>
      <t>n</t>
    </r>
    <r>
      <rPr>
        <b/>
        <sz val="12"/>
        <rFont val="Calibri"/>
        <family val="2"/>
        <scheme val="minor"/>
      </rPr>
      <t>) calculados con su fórmula directa CONSIDERAMOS CAPITAL SIMPLE (LCS)</t>
    </r>
  </si>
  <si>
    <r>
      <t>se buscan los intereses acumulados (I</t>
    </r>
    <r>
      <rPr>
        <b/>
        <vertAlign val="subscript"/>
        <sz val="12"/>
        <rFont val="Calibri"/>
        <family val="2"/>
        <scheme val="minor"/>
      </rPr>
      <t>n</t>
    </r>
    <r>
      <rPr>
        <b/>
        <sz val="12"/>
        <rFont val="Calibri"/>
        <family val="2"/>
        <scheme val="minor"/>
      </rPr>
      <t>) calculados por diferencia entre capitales CONSIDERAMOS CAPITAL SIMPLE (LCS)</t>
    </r>
  </si>
  <si>
    <t>también:</t>
  </si>
  <si>
    <r>
      <t>i</t>
    </r>
    <r>
      <rPr>
        <vertAlign val="subscript"/>
        <sz val="12"/>
        <color theme="1"/>
        <rFont val="Calibri"/>
        <family val="2"/>
        <scheme val="minor"/>
      </rPr>
      <t>12</t>
    </r>
  </si>
  <si>
    <t>===&gt;</t>
  </si>
  <si>
    <t>BLOQUE 2</t>
  </si>
  <si>
    <t>8.</t>
  </si>
  <si>
    <r>
      <t>C</t>
    </r>
    <r>
      <rPr>
        <vertAlign val="subscript"/>
        <sz val="12"/>
        <color theme="1"/>
        <rFont val="Cambria"/>
        <family val="1"/>
        <scheme val="major"/>
      </rPr>
      <t>0</t>
    </r>
  </si>
  <si>
    <t>este es el interés diario (i) CONSIDERAMOS INTERÉS SIMPLE (LCS)</t>
  </si>
  <si>
    <r>
      <t>C</t>
    </r>
    <r>
      <rPr>
        <vertAlign val="subscript"/>
        <sz val="12"/>
        <color theme="1"/>
        <rFont val="Cambria"/>
        <family val="1"/>
        <scheme val="major"/>
      </rPr>
      <t>n</t>
    </r>
  </si>
  <si>
    <t>9.</t>
  </si>
  <si>
    <t>se busca el plazo de la operación (n) CONSIDERAMOS INTERÉS SIMPLE (LCS)</t>
  </si>
  <si>
    <t>10.</t>
  </si>
  <si>
    <r>
      <t>I</t>
    </r>
    <r>
      <rPr>
        <vertAlign val="subscript"/>
        <sz val="12"/>
        <color theme="1"/>
        <rFont val="Cambria"/>
        <family val="1"/>
        <scheme val="major"/>
      </rPr>
      <t>n</t>
    </r>
  </si>
  <si>
    <t>11.</t>
  </si>
  <si>
    <t>12.</t>
  </si>
  <si>
    <t>BLOQUE 3</t>
  </si>
  <si>
    <t>nota</t>
  </si>
  <si>
    <t>13.</t>
  </si>
  <si>
    <t>se busca el periodo de tiempo (n) CONSIDERAMOS INTERÉS SIMPLE</t>
  </si>
  <si>
    <t>(en días)</t>
  </si>
  <si>
    <t>descuento</t>
  </si>
  <si>
    <t>se busca el periodo de tiempo (n) CONSIDERAMOS INTERÉS COMPUESTO</t>
  </si>
  <si>
    <t>14.</t>
  </si>
  <si>
    <t>se busca el importe actual del primer pago CONSIDERAMOS DESCUENTO SIMPLE (RACIONAL)</t>
  </si>
  <si>
    <t>se busca el importe actual del segundo pago CONSIDERAMOS DESCUENTO SIMPLE (RACIONAL)</t>
  </si>
  <si>
    <t>se busca el importe actual del tercer pago CONSIDERAMOS DESCUENTO SIMPLE (RACIONAL)</t>
  </si>
  <si>
    <t>valor actual de los tres pagos</t>
  </si>
  <si>
    <t>15.</t>
  </si>
  <si>
    <t xml:space="preserve">se busca el importe del efecto USANDO INTERÉS SIMPLE </t>
  </si>
  <si>
    <t>16.</t>
  </si>
  <si>
    <t>se busca el importe actual del primer pago CONSIDERAMOS INTERÉS SIMPLE RACIONAL</t>
  </si>
  <si>
    <t>se busca el importe actual del segundo pago CONSIDERAMOS INTERÉS SIMPLE RACIONAL</t>
  </si>
  <si>
    <t>se busca el importe actual del tercer pago CONSIDERAMOS INTERÉS SIMPLE RACIONAL</t>
  </si>
  <si>
    <r>
      <t>qué es un valor actual acumulado de C</t>
    </r>
    <r>
      <rPr>
        <b/>
        <vertAlign val="subscript"/>
        <sz val="12"/>
        <rFont val="Calibri"/>
        <family val="2"/>
        <scheme val="minor"/>
      </rPr>
      <t>0</t>
    </r>
  </si>
  <si>
    <t>dentro de 45 días</t>
  </si>
  <si>
    <t>se busca el importe del capital final USANDO INTERÉS SIMPLE (LCC)</t>
  </si>
  <si>
    <t>17.</t>
  </si>
  <si>
    <t>se busca el importe actual del primer pago CONSIDERAMOS INTERÉS SIMPLE (RACIONAL)</t>
  </si>
  <si>
    <t>se busca el importe actual del segundo pago CONSIDERAMOS INTERÉS SIMPLE  (RACIONAL)</t>
  </si>
  <si>
    <t>se busca el importe actual del tercer pago CONSIDERAMOS INTERÉS SIMPLE  (RACIONAL)</t>
  </si>
  <si>
    <t>valor actual de los tres pagos a INTERÉS SIMPLE</t>
  </si>
  <si>
    <t xml:space="preserve">se busca el importe actual del primer pago CONSIDERAMOS INTERÉS COMPUESTO </t>
  </si>
  <si>
    <t>se busca el importe actual del segundo pago CONSIDERAMOS INTERÉS COMPUESTO</t>
  </si>
  <si>
    <t xml:space="preserve">se busca el importe actual del tercer pago CONSIDERAMOS INTERÉS COMPUESTO </t>
  </si>
  <si>
    <t>valor actual de los tres pagos a INTERÉS COMPUESTO</t>
  </si>
  <si>
    <t>18.</t>
  </si>
  <si>
    <t>se busca interés TAE (i) CONSIDERAMOS INTERÉS COMPUESTO (LCC)</t>
  </si>
  <si>
    <t>se busca interés mensual CONSIDERAMOS INTERÉS COMPUESTO (LCC)</t>
  </si>
  <si>
    <t>este es el TAE</t>
  </si>
  <si>
    <t>19.</t>
  </si>
  <si>
    <t>interés</t>
  </si>
  <si>
    <r>
      <t>J</t>
    </r>
    <r>
      <rPr>
        <vertAlign val="subscript"/>
        <sz val="12"/>
        <color theme="1"/>
        <rFont val="Calibri"/>
        <family val="2"/>
        <scheme val="minor"/>
      </rPr>
      <t>m</t>
    </r>
  </si>
  <si>
    <t>TAE</t>
  </si>
  <si>
    <t>valor de m</t>
  </si>
  <si>
    <t>semestral</t>
  </si>
  <si>
    <r>
      <t>i</t>
    </r>
    <r>
      <rPr>
        <b/>
        <vertAlign val="subscript"/>
        <sz val="12"/>
        <color theme="4" tint="-0.499984740745262"/>
        <rFont val="Calibri"/>
        <family val="2"/>
        <scheme val="minor"/>
      </rPr>
      <t>2</t>
    </r>
    <r>
      <rPr>
        <b/>
        <sz val="12"/>
        <color theme="4" tint="-0.499984740745262"/>
        <rFont val="Calibri"/>
        <family val="2"/>
        <scheme val="minor"/>
      </rPr>
      <t xml:space="preserve"> =</t>
    </r>
  </si>
  <si>
    <t>i =</t>
  </si>
  <si>
    <t>cuatrimestral</t>
  </si>
  <si>
    <r>
      <t>i</t>
    </r>
    <r>
      <rPr>
        <b/>
        <vertAlign val="subscript"/>
        <sz val="12"/>
        <color theme="4" tint="-0.499984740745262"/>
        <rFont val="Calibri"/>
        <family val="2"/>
        <scheme val="minor"/>
      </rPr>
      <t>3</t>
    </r>
    <r>
      <rPr>
        <b/>
        <sz val="12"/>
        <color theme="4" tint="-0.499984740745262"/>
        <rFont val="Calibri"/>
        <family val="2"/>
        <scheme val="minor"/>
      </rPr>
      <t xml:space="preserve"> =</t>
    </r>
  </si>
  <si>
    <t>trimestral</t>
  </si>
  <si>
    <r>
      <t>i</t>
    </r>
    <r>
      <rPr>
        <b/>
        <vertAlign val="subscript"/>
        <sz val="12"/>
        <color theme="4" tint="-0.499984740745262"/>
        <rFont val="Calibri"/>
        <family val="2"/>
        <scheme val="minor"/>
      </rPr>
      <t>4</t>
    </r>
    <r>
      <rPr>
        <b/>
        <sz val="12"/>
        <color theme="4" tint="-0.499984740745262"/>
        <rFont val="Calibri"/>
        <family val="2"/>
        <scheme val="minor"/>
      </rPr>
      <t xml:space="preserve"> =</t>
    </r>
  </si>
  <si>
    <t>bimestral</t>
  </si>
  <si>
    <r>
      <t>i</t>
    </r>
    <r>
      <rPr>
        <b/>
        <vertAlign val="subscript"/>
        <sz val="12"/>
        <color theme="4" tint="-0.499984740745262"/>
        <rFont val="Calibri"/>
        <family val="2"/>
        <scheme val="minor"/>
      </rPr>
      <t>6</t>
    </r>
    <r>
      <rPr>
        <b/>
        <sz val="12"/>
        <color theme="4" tint="-0.499984740745262"/>
        <rFont val="Calibri"/>
        <family val="2"/>
        <scheme val="minor"/>
      </rPr>
      <t xml:space="preserve"> =</t>
    </r>
  </si>
  <si>
    <t>mensual</t>
  </si>
  <si>
    <r>
      <t>i</t>
    </r>
    <r>
      <rPr>
        <b/>
        <vertAlign val="subscript"/>
        <sz val="12"/>
        <color theme="4" tint="-0.499984740745262"/>
        <rFont val="Calibri"/>
        <family val="2"/>
        <scheme val="minor"/>
      </rPr>
      <t>12</t>
    </r>
    <r>
      <rPr>
        <b/>
        <sz val="12"/>
        <color theme="4" tint="-0.499984740745262"/>
        <rFont val="Calibri"/>
        <family val="2"/>
        <scheme val="minor"/>
      </rPr>
      <t xml:space="preserve"> =</t>
    </r>
  </si>
  <si>
    <t>20.</t>
  </si>
  <si>
    <r>
      <t>se busca el importe del valor final (C</t>
    </r>
    <r>
      <rPr>
        <b/>
        <vertAlign val="subscript"/>
        <sz val="12"/>
        <rFont val="Calibri"/>
        <family val="2"/>
        <scheme val="minor"/>
      </rPr>
      <t>n</t>
    </r>
    <r>
      <rPr>
        <b/>
        <sz val="12"/>
        <rFont val="Calibri"/>
        <family val="2"/>
        <scheme val="minor"/>
      </rPr>
      <t>) CONSIDERAMOS INTERÉS COMPUESTO (LCC)</t>
    </r>
  </si>
  <si>
    <r>
      <t>J</t>
    </r>
    <r>
      <rPr>
        <vertAlign val="subscript"/>
        <sz val="12"/>
        <color theme="1"/>
        <rFont val="Calibri"/>
        <family val="2"/>
        <scheme val="minor"/>
      </rPr>
      <t>2</t>
    </r>
  </si>
  <si>
    <r>
      <t>i</t>
    </r>
    <r>
      <rPr>
        <vertAlign val="subscript"/>
        <sz val="12"/>
        <color theme="1"/>
        <rFont val="Calibri"/>
        <family val="2"/>
        <scheme val="minor"/>
      </rPr>
      <t>2</t>
    </r>
  </si>
  <si>
    <t xml:space="preserve">i </t>
  </si>
  <si>
    <t>directamente</t>
  </si>
  <si>
    <t>21.</t>
  </si>
  <si>
    <t>incremento anual del precio</t>
  </si>
  <si>
    <t>este es el precio del horno dentro de nueve años</t>
  </si>
  <si>
    <r>
      <t>se busca el importe del valor inicial (C</t>
    </r>
    <r>
      <rPr>
        <b/>
        <vertAlign val="subscript"/>
        <sz val="12"/>
        <rFont val="Calibri"/>
        <family val="2"/>
        <scheme val="minor"/>
      </rPr>
      <t>0</t>
    </r>
    <r>
      <rPr>
        <b/>
        <sz val="12"/>
        <rFont val="Calibri"/>
        <family val="2"/>
        <scheme val="minor"/>
      </rPr>
      <t>) CONSIDERAMOS INTERÉS COMPUESTO</t>
    </r>
  </si>
  <si>
    <t>este es el importe que deberemos ingresar ahora mismo en el banco</t>
  </si>
  <si>
    <t>BLOQUE 4</t>
  </si>
  <si>
    <t>22.</t>
  </si>
  <si>
    <t>opción 1</t>
  </si>
  <si>
    <t>valor actual</t>
  </si>
  <si>
    <t>pago al contado</t>
  </si>
  <si>
    <t>ya es un valor actual</t>
  </si>
  <si>
    <t>se busca el valor actual del pago aplazado CONSIDERAMOS INTERÉS COMPUESTO (LCC)</t>
  </si>
  <si>
    <r>
      <t>i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</t>
    </r>
  </si>
  <si>
    <t>opción 2</t>
  </si>
  <si>
    <t>pago semestral</t>
  </si>
  <si>
    <t>primer plazo</t>
  </si>
  <si>
    <t>se busca el valor actual del primer pago aplazado semestral CONSIDERAMOS INTERÉS COMPUESTO (LCC)</t>
  </si>
  <si>
    <t>segundo plazo</t>
  </si>
  <si>
    <t>se busca el valor actual del segundo pago aplazado semestral CONSIDERAMOS INTERÉS COMPUESTO (LCC)</t>
  </si>
  <si>
    <t>tercer plazo</t>
  </si>
  <si>
    <t>se busca el valor actual del tercer pago aplazado semestral CONSIDERAMOS INTERÉS COMPUESTO (LCC)</t>
  </si>
  <si>
    <t>23.</t>
  </si>
  <si>
    <t>mejor opción</t>
  </si>
  <si>
    <t>pagos</t>
  </si>
  <si>
    <t>1º</t>
  </si>
  <si>
    <t>pago (hoy)</t>
  </si>
  <si>
    <t>2º</t>
  </si>
  <si>
    <t>pago</t>
  </si>
  <si>
    <t>se busca el valor actual del primer pago aplazado anual CONSIDERAMOS INTERÉS COMPUESTO (LCC)</t>
  </si>
  <si>
    <t>semestres</t>
  </si>
  <si>
    <t>3º</t>
  </si>
  <si>
    <t>se busca el valor actual del segundo pago aplazado anual CONSIDERAMOS INTERÉS COMPUESTO (lCC)</t>
  </si>
  <si>
    <t>4º</t>
  </si>
  <si>
    <t>se busca el valor actual del segundo pago aplazado anual CONSIDERAMOS INTERÉS COMPUESTO (LCC)</t>
  </si>
  <si>
    <t>se busca el valor actual del pago aplazado anual CONSIDERAMOS INTERÉS COMPUESTO (LCC)</t>
  </si>
  <si>
    <t xml:space="preserve">24. </t>
  </si>
  <si>
    <t>int. diario</t>
  </si>
  <si>
    <t>(interes simple)</t>
  </si>
  <si>
    <t>se busca el capital inicial del primero de los efectos a INTERÉS SIMPLE</t>
  </si>
  <si>
    <t>se busca el capital inicial del segundo de los efectos a INTERÉS SIMPLE</t>
  </si>
  <si>
    <t>se busca el capital inicial del tercero de los efectos a INTERÉS SIMPLE</t>
  </si>
  <si>
    <t>Capital a reunificar:</t>
  </si>
  <si>
    <r>
      <t>se busca el capital final a pagar (C</t>
    </r>
    <r>
      <rPr>
        <b/>
        <vertAlign val="subscript"/>
        <sz val="12"/>
        <rFont val="Calibri"/>
        <family val="2"/>
        <scheme val="minor"/>
      </rPr>
      <t>n</t>
    </r>
    <r>
      <rPr>
        <b/>
        <sz val="12"/>
        <rFont val="Calibri"/>
        <family val="2"/>
        <scheme val="minor"/>
      </rPr>
      <t xml:space="preserve">) INTERÉS SIMPLE </t>
    </r>
  </si>
  <si>
    <t>25.</t>
  </si>
  <si>
    <t>a)</t>
  </si>
  <si>
    <r>
      <t>se busca el capital inicial (C</t>
    </r>
    <r>
      <rPr>
        <b/>
        <vertAlign val="subscript"/>
        <sz val="12"/>
        <rFont val="Calibri"/>
        <family val="2"/>
        <scheme val="minor"/>
      </rPr>
      <t>0</t>
    </r>
    <r>
      <rPr>
        <b/>
        <sz val="12"/>
        <rFont val="Calibri"/>
        <family val="2"/>
        <scheme val="minor"/>
      </rPr>
      <t xml:space="preserve">) INTERÉS SIMPLE </t>
    </r>
  </si>
  <si>
    <t>fecha</t>
  </si>
  <si>
    <t>b)</t>
  </si>
  <si>
    <t>duración</t>
  </si>
  <si>
    <t>capitales</t>
  </si>
  <si>
    <t>certeza</t>
  </si>
  <si>
    <t>c)</t>
  </si>
  <si>
    <t>comisión</t>
  </si>
  <si>
    <t>c</t>
  </si>
  <si>
    <t xml:space="preserve">se busca el importe líquido que recibe la empresa </t>
  </si>
  <si>
    <t>d)</t>
  </si>
  <si>
    <t>se busca el importe que no llega a cobrar la empresa por descuento y comisión</t>
  </si>
  <si>
    <t>comisiones</t>
  </si>
  <si>
    <t>26.</t>
  </si>
  <si>
    <t>opción 1: directa</t>
  </si>
  <si>
    <r>
      <t>este es el capital final (C</t>
    </r>
    <r>
      <rPr>
        <b/>
        <vertAlign val="subscript"/>
        <sz val="12"/>
        <rFont val="Calibri"/>
        <family val="2"/>
        <scheme val="minor"/>
      </rPr>
      <t>n</t>
    </r>
    <r>
      <rPr>
        <b/>
        <sz val="12"/>
        <rFont val="Calibri"/>
        <family val="2"/>
        <scheme val="minor"/>
      </rPr>
      <t>) CONSIDERAMOS INTERÉS COMPUESTO (LCC)</t>
    </r>
  </si>
  <si>
    <r>
      <t>este es el capital final (C</t>
    </r>
    <r>
      <rPr>
        <b/>
        <vertAlign val="subscript"/>
        <sz val="12"/>
        <rFont val="Calibri"/>
        <family val="2"/>
        <scheme val="minor"/>
      </rPr>
      <t>n</t>
    </r>
    <r>
      <rPr>
        <b/>
        <sz val="12"/>
        <rFont val="Calibri"/>
        <family val="2"/>
        <scheme val="minor"/>
      </rPr>
      <t>) después de cinco años CONSIDERAMOS INTERÉS COMPUESTO (LCC)</t>
    </r>
  </si>
  <si>
    <r>
      <t>este es el capital final (C</t>
    </r>
    <r>
      <rPr>
        <b/>
        <vertAlign val="subscript"/>
        <sz val="12"/>
        <rFont val="Calibri"/>
        <family val="2"/>
        <scheme val="minor"/>
      </rPr>
      <t>n</t>
    </r>
    <r>
      <rPr>
        <b/>
        <sz val="12"/>
        <rFont val="Calibri"/>
        <family val="2"/>
        <scheme val="minor"/>
      </rPr>
      <t>) después de los siete años CONSIDERAMOS INTERÉS COMPUESTO (LCC)</t>
    </r>
  </si>
  <si>
    <t>son iguales ambos capitales finales al final de los siete años</t>
  </si>
  <si>
    <t>27.</t>
  </si>
  <si>
    <t>CONSIDERAMOS DESCUENTO SIMPLE (COMERCIAL)</t>
  </si>
  <si>
    <r>
      <t>este es el capital inicial (C</t>
    </r>
    <r>
      <rPr>
        <b/>
        <vertAlign val="subscript"/>
        <sz val="12"/>
        <rFont val="Calibri"/>
        <family val="2"/>
        <scheme val="minor"/>
      </rPr>
      <t>0</t>
    </r>
    <r>
      <rPr>
        <b/>
        <sz val="12"/>
        <rFont val="Calibri"/>
        <family val="2"/>
        <scheme val="minor"/>
      </rPr>
      <t xml:space="preserve">) CONSIDERAMOS INTERÉS SIMPLE </t>
    </r>
  </si>
  <si>
    <r>
      <t>este es el capital inicial (C</t>
    </r>
    <r>
      <rPr>
        <b/>
        <vertAlign val="subscript"/>
        <sz val="12"/>
        <rFont val="Calibri"/>
        <family val="2"/>
        <scheme val="minor"/>
      </rPr>
      <t>0</t>
    </r>
    <r>
      <rPr>
        <b/>
        <sz val="12"/>
        <rFont val="Calibri"/>
        <family val="2"/>
        <scheme val="minor"/>
      </rPr>
      <t xml:space="preserve">) en el momento 5 CONSIDERAMOS INTERÉS SIMPLE </t>
    </r>
  </si>
  <si>
    <t>NO son iguales ambos capitales finales al descontarlos los siete años</t>
  </si>
  <si>
    <t>CONSIDERAMOS DESCUENTO RACIONAL SIMPLE</t>
  </si>
  <si>
    <r>
      <t>este es el capital inicial (C</t>
    </r>
    <r>
      <rPr>
        <b/>
        <vertAlign val="subscript"/>
        <sz val="12"/>
        <rFont val="Calibri"/>
        <family val="2"/>
        <scheme val="minor"/>
      </rPr>
      <t>0</t>
    </r>
    <r>
      <rPr>
        <b/>
        <sz val="12"/>
        <rFont val="Calibri"/>
        <family val="2"/>
        <scheme val="minor"/>
      </rPr>
      <t xml:space="preserve">) CONSIDERAMOS DESCUENTO RACIONAL SIMPLE </t>
    </r>
  </si>
  <si>
    <r>
      <t>este es el capital inicial (C</t>
    </r>
    <r>
      <rPr>
        <b/>
        <vertAlign val="subscript"/>
        <sz val="12"/>
        <rFont val="Calibri"/>
        <family val="2"/>
        <scheme val="minor"/>
      </rPr>
      <t>0</t>
    </r>
    <r>
      <rPr>
        <b/>
        <sz val="12"/>
        <rFont val="Calibri"/>
        <family val="2"/>
        <scheme val="minor"/>
      </rPr>
      <t>) en el momento 5 CONSIDERAMOS DESCUENTO RACIONAL SIMPLE (LDR)</t>
    </r>
  </si>
  <si>
    <r>
      <t>este es el capital inicial (C</t>
    </r>
    <r>
      <rPr>
        <b/>
        <vertAlign val="subscript"/>
        <sz val="12"/>
        <rFont val="Calibri"/>
        <family val="2"/>
        <scheme val="minor"/>
      </rPr>
      <t>0</t>
    </r>
    <r>
      <rPr>
        <b/>
        <sz val="12"/>
        <rFont val="Calibri"/>
        <family val="2"/>
        <scheme val="minor"/>
      </rPr>
      <t>) CONSIDERAMOS DESCUENTO RACIONAL SIMPLE (LDR)</t>
    </r>
  </si>
  <si>
    <t>BLOQUE 5</t>
  </si>
  <si>
    <t>28.</t>
  </si>
  <si>
    <t>i anual =</t>
  </si>
  <si>
    <t>0 (hoy)</t>
  </si>
  <si>
    <t>Valor actual renta constante, temporal (finita), postagable, a 8 años y al tipo de interés del 3%:</t>
  </si>
  <si>
    <t xml:space="preserve">Funcion VA de excel: </t>
  </si>
  <si>
    <t>VA(tasa;nper;pago;[vf];[tipo])</t>
  </si>
  <si>
    <t>Valor actual =</t>
  </si>
  <si>
    <t xml:space="preserve">Funcion VNA de excel: </t>
  </si>
  <si>
    <t>VNA(tasa;valor1;[valor2];…)</t>
  </si>
  <si>
    <t>Valor al final de los 8 años:</t>
  </si>
  <si>
    <t xml:space="preserve">Funcion VF de excel: </t>
  </si>
  <si>
    <t>VF(tasa;nper;pago;[vf];[tipo])</t>
  </si>
  <si>
    <t>Valor final =</t>
  </si>
  <si>
    <t>29.</t>
  </si>
  <si>
    <t>i (anual) =</t>
  </si>
  <si>
    <r>
      <t>i</t>
    </r>
    <r>
      <rPr>
        <vertAlign val="subscript"/>
        <sz val="14"/>
        <color theme="1"/>
        <rFont val="Calibri"/>
        <family val="2"/>
        <scheme val="minor"/>
      </rPr>
      <t>12</t>
    </r>
    <r>
      <rPr>
        <sz val="14"/>
        <color theme="1"/>
        <rFont val="Calibri"/>
        <family val="2"/>
        <scheme val="minor"/>
      </rPr>
      <t xml:space="preserve"> =</t>
    </r>
  </si>
  <si>
    <r>
      <t>(1+i</t>
    </r>
    <r>
      <rPr>
        <vertAlign val="subscript"/>
        <sz val="14"/>
        <color rgb="FFFF0000"/>
        <rFont val="Calibri"/>
        <family val="2"/>
        <scheme val="minor"/>
      </rPr>
      <t>m</t>
    </r>
    <r>
      <rPr>
        <sz val="14"/>
        <color rgb="FFFF0000"/>
        <rFont val="Calibri"/>
        <family val="2"/>
        <scheme val="minor"/>
      </rPr>
      <t>)</t>
    </r>
    <r>
      <rPr>
        <vertAlign val="superscript"/>
        <sz val="14"/>
        <color rgb="FFFF0000"/>
        <rFont val="Calibri"/>
        <family val="2"/>
        <scheme val="minor"/>
      </rPr>
      <t>m</t>
    </r>
    <r>
      <rPr>
        <sz val="14"/>
        <color rgb="FFFF0000"/>
        <rFont val="Calibri"/>
        <family val="2"/>
        <scheme val="minor"/>
      </rPr>
      <t xml:space="preserve"> = (1+i)</t>
    </r>
  </si>
  <si>
    <t>Valor actual renta constante, temporal (finita), prepagable, a 10 meses y al tipo de interés efectivo anual del 5,5%, esto es, el 0,45% mensual:</t>
  </si>
  <si>
    <t>OJO!</t>
  </si>
  <si>
    <t>Valor al final de los 10 meses:</t>
  </si>
  <si>
    <t>30.</t>
  </si>
  <si>
    <r>
      <t>i</t>
    </r>
    <r>
      <rPr>
        <vertAlign val="subscript"/>
        <sz val="14"/>
        <color theme="1"/>
        <rFont val="Calibri"/>
        <family val="2"/>
        <scheme val="minor"/>
      </rPr>
      <t>3</t>
    </r>
    <r>
      <rPr>
        <sz val="14"/>
        <color theme="1"/>
        <rFont val="Calibri"/>
        <family val="2"/>
        <scheme val="minor"/>
      </rPr>
      <t xml:space="preserve"> =</t>
    </r>
  </si>
  <si>
    <t>AÑOS</t>
  </si>
  <si>
    <t>cuatrimestres</t>
  </si>
  <si>
    <t>VA(1,64%;12;-1000)</t>
  </si>
  <si>
    <t>VNA(1,64%;rango celdas)</t>
  </si>
  <si>
    <t>Pero este VA se encuentra en el comienzo del año 3 (o final del año 2), por tanto:</t>
  </si>
  <si>
    <t>VA (mto 0) =</t>
  </si>
  <si>
    <r>
      <t>VA(mto.2)/(1+i)</t>
    </r>
    <r>
      <rPr>
        <vertAlign val="super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 xml:space="preserve"> =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</si>
</sst>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#,##0.00\ &quot;€&quot;;[Red]\-#,##0.00\ &quot;€&quot;"/>
    <numFmt numFmtId="164" formatCode="#,##0.00\ &quot;€&quot;"/>
    <numFmt numFmtId="165" formatCode="#,##0.00\ &quot;meses&quot;"/>
    <numFmt numFmtId="166" formatCode="#,##0.00\ &quot;días&quot;"/>
    <numFmt numFmtId="167" formatCode="#,##0.00\ &quot;años&quot;"/>
    <numFmt numFmtId="168" formatCode="0.00\ &quot;días&quot;"/>
    <numFmt numFmtId="169" formatCode="#,##0.00\ &quot;trimestres&quot;"/>
    <numFmt numFmtId="170" formatCode="0.0000%"/>
    <numFmt numFmtId="171" formatCode="#,##0\ &quot;€&quot;"/>
    <numFmt numFmtId="172" formatCode="#,##0\ &quot;meses&quot;"/>
    <numFmt numFmtId="173" formatCode="#,##0\ &quot;años&quot;"/>
    <numFmt numFmtId="174" formatCode="#,##0\ &quot;días&quot;"/>
    <numFmt numFmtId="175" formatCode="#,##0.0"/>
    <numFmt numFmtId="176" formatCode="#,##0.0\ &quot;años&quot;"/>
    <numFmt numFmtId="177" formatCode="#,##0\ &quot;semestres&quot;"/>
    <numFmt numFmtId="178" formatCode="0.0%"/>
    <numFmt numFmtId="179" formatCode="#,##0.000\ &quot;años&quot;"/>
  </numFmts>
  <fonts count="4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3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vertAlign val="subscript"/>
      <sz val="12"/>
      <color theme="4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bscript"/>
      <sz val="12"/>
      <color theme="1"/>
      <name val="Cambria"/>
      <family val="1"/>
      <scheme val="major"/>
    </font>
    <font>
      <b/>
      <vertAlign val="subscript"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vertAlign val="subscript"/>
      <sz val="12"/>
      <color rgb="FF00206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vertAlign val="subscript"/>
      <sz val="14"/>
      <color rgb="FFFF0000"/>
      <name val="Calibri"/>
      <family val="2"/>
      <scheme val="minor"/>
    </font>
    <font>
      <vertAlign val="superscript"/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9" fontId="34" fillId="0" borderId="0" applyFont="0" applyFill="0" applyBorder="0" applyAlignment="0" applyProtection="0"/>
  </cellStyleXfs>
  <cellXfs count="18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6" fillId="0" borderId="0" xfId="0" applyFont="1"/>
    <xf numFmtId="167" fontId="3" fillId="0" borderId="0" xfId="0" applyNumberFormat="1" applyFont="1" applyAlignment="1">
      <alignment horizontal="center"/>
    </xf>
    <xf numFmtId="0" fontId="7" fillId="0" borderId="0" xfId="0" applyFont="1"/>
    <xf numFmtId="0" fontId="11" fillId="0" borderId="0" xfId="0" applyFont="1" applyAlignment="1">
      <alignment horizontal="center"/>
    </xf>
    <xf numFmtId="169" fontId="3" fillId="0" borderId="0" xfId="0" applyNumberFormat="1" applyFont="1" applyAlignment="1">
      <alignment horizontal="center"/>
    </xf>
    <xf numFmtId="0" fontId="13" fillId="0" borderId="0" xfId="0" applyFont="1"/>
    <xf numFmtId="0" fontId="15" fillId="0" borderId="0" xfId="0" applyFont="1"/>
    <xf numFmtId="0" fontId="4" fillId="0" borderId="0" xfId="0" applyFont="1"/>
    <xf numFmtId="0" fontId="10" fillId="0" borderId="0" xfId="0" applyFont="1"/>
    <xf numFmtId="0" fontId="19" fillId="0" borderId="0" xfId="0" applyFont="1"/>
    <xf numFmtId="164" fontId="19" fillId="0" borderId="0" xfId="0" applyNumberFormat="1" applyFont="1"/>
    <xf numFmtId="164" fontId="10" fillId="0" borderId="0" xfId="0" applyNumberFormat="1" applyFont="1" applyAlignment="1">
      <alignment horizontal="center"/>
    </xf>
    <xf numFmtId="0" fontId="20" fillId="0" borderId="0" xfId="0" applyFont="1"/>
    <xf numFmtId="0" fontId="21" fillId="0" borderId="0" xfId="0" applyFont="1"/>
    <xf numFmtId="0" fontId="9" fillId="0" borderId="0" xfId="0" applyFont="1"/>
    <xf numFmtId="0" fontId="7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164" fontId="13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167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167" fontId="22" fillId="0" borderId="0" xfId="0" applyNumberFormat="1" applyFont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7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/>
    </xf>
    <xf numFmtId="164" fontId="22" fillId="2" borderId="1" xfId="0" applyNumberFormat="1" applyFont="1" applyFill="1" applyBorder="1" applyAlignment="1">
      <alignment vertical="center"/>
    </xf>
    <xf numFmtId="164" fontId="22" fillId="0" borderId="1" xfId="0" applyNumberFormat="1" applyFont="1" applyBorder="1" applyAlignment="1">
      <alignment vertical="center"/>
    </xf>
    <xf numFmtId="166" fontId="3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right"/>
    </xf>
    <xf numFmtId="3" fontId="0" fillId="0" borderId="4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5" fontId="0" fillId="0" borderId="4" xfId="0" applyNumberFormat="1" applyBorder="1" applyAlignment="1">
      <alignment horizontal="center"/>
    </xf>
    <xf numFmtId="175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right" indent="1"/>
    </xf>
    <xf numFmtId="0" fontId="0" fillId="0" borderId="8" xfId="0" applyBorder="1" applyAlignment="1">
      <alignment horizontal="right" indent="1"/>
    </xf>
    <xf numFmtId="0" fontId="0" fillId="0" borderId="9" xfId="0" applyBorder="1" applyAlignment="1">
      <alignment horizontal="right" indent="1"/>
    </xf>
    <xf numFmtId="164" fontId="10" fillId="2" borderId="0" xfId="0" applyNumberFormat="1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164" fontId="19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10" fontId="10" fillId="2" borderId="0" xfId="0" applyNumberFormat="1" applyFont="1" applyFill="1" applyAlignment="1">
      <alignment horizontal="center" vertical="center"/>
    </xf>
    <xf numFmtId="167" fontId="10" fillId="2" borderId="0" xfId="0" applyNumberFormat="1" applyFont="1" applyFill="1" applyAlignment="1">
      <alignment horizontal="center" vertical="center"/>
    </xf>
    <xf numFmtId="172" fontId="3" fillId="3" borderId="0" xfId="0" applyNumberFormat="1" applyFont="1" applyFill="1" applyAlignment="1">
      <alignment horizontal="center"/>
    </xf>
    <xf numFmtId="164" fontId="21" fillId="0" borderId="0" xfId="0" applyNumberFormat="1" applyFont="1"/>
    <xf numFmtId="168" fontId="10" fillId="2" borderId="0" xfId="0" applyNumberFormat="1" applyFont="1" applyFill="1" applyAlignment="1">
      <alignment horizontal="center"/>
    </xf>
    <xf numFmtId="164" fontId="10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0" fontId="31" fillId="0" borderId="0" xfId="0" applyFont="1"/>
    <xf numFmtId="0" fontId="32" fillId="0" borderId="0" xfId="0" applyFont="1"/>
    <xf numFmtId="171" fontId="3" fillId="0" borderId="0" xfId="0" applyNumberFormat="1" applyFont="1" applyAlignment="1">
      <alignment horizontal="center"/>
    </xf>
    <xf numFmtId="164" fontId="10" fillId="0" borderId="0" xfId="0" applyNumberFormat="1" applyFont="1"/>
    <xf numFmtId="0" fontId="10" fillId="0" borderId="0" xfId="0" applyFont="1" applyAlignment="1">
      <alignment horizontal="center"/>
    </xf>
    <xf numFmtId="0" fontId="10" fillId="2" borderId="0" xfId="0" applyFont="1" applyFill="1"/>
    <xf numFmtId="164" fontId="10" fillId="0" borderId="0" xfId="0" applyNumberFormat="1" applyFont="1" applyAlignment="1">
      <alignment horizontal="left"/>
    </xf>
    <xf numFmtId="0" fontId="19" fillId="2" borderId="0" xfId="0" applyFont="1" applyFill="1"/>
    <xf numFmtId="164" fontId="19" fillId="2" borderId="0" xfId="0" applyNumberFormat="1" applyFont="1" applyFill="1"/>
    <xf numFmtId="164" fontId="10" fillId="2" borderId="0" xfId="0" applyNumberFormat="1" applyFont="1" applyFill="1" applyAlignment="1">
      <alignment horizontal="left"/>
    </xf>
    <xf numFmtId="10" fontId="10" fillId="2" borderId="0" xfId="0" applyNumberFormat="1" applyFont="1" applyFill="1" applyAlignment="1">
      <alignment horizontal="left"/>
    </xf>
    <xf numFmtId="166" fontId="10" fillId="2" borderId="0" xfId="0" applyNumberFormat="1" applyFont="1" applyFill="1" applyAlignment="1">
      <alignment horizontal="left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13" fillId="0" borderId="0" xfId="0" applyFont="1" applyAlignment="1">
      <alignment horizontal="right" vertical="center"/>
    </xf>
    <xf numFmtId="0" fontId="15" fillId="4" borderId="0" xfId="0" applyFont="1" applyFill="1" applyAlignment="1">
      <alignment horizontal="right"/>
    </xf>
    <xf numFmtId="0" fontId="15" fillId="0" borderId="0" xfId="0" applyFont="1" applyAlignment="1">
      <alignment horizontal="right" vertical="center"/>
    </xf>
    <xf numFmtId="0" fontId="22" fillId="0" borderId="0" xfId="0" applyFont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164" fontId="10" fillId="0" borderId="1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71" fontId="10" fillId="0" borderId="1" xfId="0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2" fillId="5" borderId="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 vertical="center"/>
    </xf>
    <xf numFmtId="0" fontId="33" fillId="0" borderId="0" xfId="0" applyFont="1"/>
    <xf numFmtId="3" fontId="0" fillId="0" borderId="1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/>
    </xf>
    <xf numFmtId="0" fontId="0" fillId="0" borderId="6" xfId="0" applyBorder="1"/>
    <xf numFmtId="0" fontId="1" fillId="0" borderId="0" xfId="0" applyFont="1" applyAlignment="1">
      <alignment vertical="top"/>
    </xf>
    <xf numFmtId="0" fontId="1" fillId="0" borderId="0" xfId="0" applyFont="1"/>
    <xf numFmtId="0" fontId="2" fillId="0" borderId="0" xfId="0" applyFont="1"/>
    <xf numFmtId="0" fontId="35" fillId="0" borderId="0" xfId="0" applyFont="1"/>
    <xf numFmtId="8" fontId="1" fillId="0" borderId="0" xfId="0" applyNumberFormat="1" applyFont="1"/>
    <xf numFmtId="0" fontId="1" fillId="0" borderId="6" xfId="0" applyFont="1" applyBorder="1" applyAlignment="1">
      <alignment horizontal="right"/>
    </xf>
    <xf numFmtId="0" fontId="1" fillId="0" borderId="0" xfId="0" quotePrefix="1" applyFont="1" applyAlignment="1">
      <alignment horizontal="center"/>
    </xf>
    <xf numFmtId="0" fontId="36" fillId="0" borderId="0" xfId="0" applyFont="1" applyAlignment="1">
      <alignment horizontal="right"/>
    </xf>
    <xf numFmtId="10" fontId="1" fillId="0" borderId="0" xfId="9" applyNumberFormat="1" applyFont="1"/>
    <xf numFmtId="0" fontId="8" fillId="0" borderId="0" xfId="0" applyFont="1" applyAlignment="1">
      <alignment horizontal="center"/>
    </xf>
    <xf numFmtId="0" fontId="15" fillId="0" borderId="0" xfId="0" applyFont="1" applyAlignment="1">
      <alignment horizontal="right" vertical="top"/>
    </xf>
    <xf numFmtId="0" fontId="15" fillId="0" borderId="11" xfId="0" applyFont="1" applyBorder="1" applyAlignment="1">
      <alignment vertical="top"/>
    </xf>
    <xf numFmtId="0" fontId="40" fillId="0" borderId="0" xfId="0" applyFont="1"/>
    <xf numFmtId="0" fontId="2" fillId="0" borderId="0" xfId="0" quotePrefix="1" applyFont="1" applyAlignment="1">
      <alignment horizontal="center"/>
    </xf>
    <xf numFmtId="0" fontId="36" fillId="0" borderId="0" xfId="0" applyFont="1"/>
    <xf numFmtId="0" fontId="33" fillId="7" borderId="0" xfId="0" applyFont="1" applyFill="1"/>
    <xf numFmtId="0" fontId="0" fillId="7" borderId="0" xfId="0" applyFill="1"/>
    <xf numFmtId="9" fontId="0" fillId="6" borderId="10" xfId="0" applyNumberFormat="1" applyFill="1" applyBorder="1"/>
    <xf numFmtId="3" fontId="1" fillId="6" borderId="0" xfId="0" applyNumberFormat="1" applyFont="1" applyFill="1"/>
    <xf numFmtId="8" fontId="1" fillId="2" borderId="0" xfId="0" applyNumberFormat="1" applyFont="1" applyFill="1"/>
    <xf numFmtId="8" fontId="0" fillId="2" borderId="0" xfId="0" applyNumberFormat="1" applyFill="1"/>
    <xf numFmtId="178" fontId="1" fillId="6" borderId="10" xfId="0" applyNumberFormat="1" applyFont="1" applyFill="1" applyBorder="1" applyAlignment="1">
      <alignment horizontal="center"/>
    </xf>
    <xf numFmtId="10" fontId="1" fillId="2" borderId="0" xfId="9" applyNumberFormat="1" applyFont="1" applyFill="1"/>
    <xf numFmtId="0" fontId="1" fillId="6" borderId="0" xfId="0" applyFont="1" applyFill="1"/>
    <xf numFmtId="8" fontId="36" fillId="2" borderId="0" xfId="0" applyNumberFormat="1" applyFont="1" applyFill="1"/>
    <xf numFmtId="9" fontId="1" fillId="6" borderId="0" xfId="9" quotePrefix="1" applyFont="1" applyFill="1" applyAlignment="1">
      <alignment horizontal="center"/>
    </xf>
    <xf numFmtId="3" fontId="0" fillId="6" borderId="0" xfId="0" applyNumberFormat="1" applyFill="1"/>
    <xf numFmtId="9" fontId="0" fillId="6" borderId="0" xfId="0" applyNumberFormat="1" applyFill="1"/>
    <xf numFmtId="0" fontId="0" fillId="6" borderId="0" xfId="0" applyFill="1"/>
    <xf numFmtId="0" fontId="15" fillId="0" borderId="0" xfId="0" applyFont="1" applyAlignment="1">
      <alignment vertical="top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vertical="center"/>
    </xf>
    <xf numFmtId="164" fontId="1" fillId="2" borderId="0" xfId="0" applyNumberFormat="1" applyFont="1" applyFill="1" applyAlignment="1">
      <alignment vertical="center"/>
    </xf>
    <xf numFmtId="10" fontId="1" fillId="0" borderId="12" xfId="9" applyNumberFormat="1" applyFont="1" applyBorder="1" applyAlignment="1">
      <alignment vertical="center"/>
    </xf>
    <xf numFmtId="164" fontId="3" fillId="3" borderId="0" xfId="0" applyNumberFormat="1" applyFont="1" applyFill="1" applyAlignment="1">
      <alignment horizontal="center"/>
    </xf>
    <xf numFmtId="171" fontId="3" fillId="3" borderId="0" xfId="0" applyNumberFormat="1" applyFont="1" applyFill="1" applyAlignment="1">
      <alignment horizontal="center"/>
    </xf>
    <xf numFmtId="174" fontId="3" fillId="3" borderId="0" xfId="0" applyNumberFormat="1" applyFont="1" applyFill="1" applyAlignment="1">
      <alignment horizontal="center"/>
    </xf>
    <xf numFmtId="9" fontId="3" fillId="3" borderId="0" xfId="0" applyNumberFormat="1" applyFont="1" applyFill="1" applyAlignment="1">
      <alignment horizontal="center"/>
    </xf>
    <xf numFmtId="10" fontId="3" fillId="3" borderId="0" xfId="0" applyNumberFormat="1" applyFont="1" applyFill="1" applyAlignment="1">
      <alignment horizontal="center"/>
    </xf>
    <xf numFmtId="176" fontId="3" fillId="3" borderId="0" xfId="0" applyNumberFormat="1" applyFont="1" applyFill="1" applyAlignment="1">
      <alignment horizontal="center"/>
    </xf>
    <xf numFmtId="171" fontId="3" fillId="3" borderId="0" xfId="0" applyNumberFormat="1" applyFont="1" applyFill="1" applyAlignment="1">
      <alignment horizontal="center" vertical="center"/>
    </xf>
    <xf numFmtId="10" fontId="3" fillId="3" borderId="0" xfId="0" applyNumberFormat="1" applyFont="1" applyFill="1" applyAlignment="1">
      <alignment horizontal="center" vertical="center"/>
    </xf>
    <xf numFmtId="172" fontId="3" fillId="3" borderId="0" xfId="0" applyNumberFormat="1" applyFont="1" applyFill="1" applyAlignment="1">
      <alignment horizontal="center" vertical="center"/>
    </xf>
    <xf numFmtId="173" fontId="3" fillId="3" borderId="0" xfId="0" applyNumberFormat="1" applyFont="1" applyFill="1" applyAlignment="1">
      <alignment horizontal="center" vertical="center"/>
    </xf>
    <xf numFmtId="9" fontId="3" fillId="3" borderId="0" xfId="0" applyNumberFormat="1" applyFont="1" applyFill="1" applyAlignment="1">
      <alignment horizontal="center" vertical="center"/>
    </xf>
    <xf numFmtId="174" fontId="3" fillId="3" borderId="0" xfId="0" applyNumberFormat="1" applyFont="1" applyFill="1" applyAlignment="1">
      <alignment horizontal="center" vertical="center"/>
    </xf>
    <xf numFmtId="171" fontId="3" fillId="0" borderId="12" xfId="0" applyNumberFormat="1" applyFont="1" applyBorder="1" applyAlignment="1">
      <alignment horizontal="center"/>
    </xf>
    <xf numFmtId="173" fontId="3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177" fontId="3" fillId="3" borderId="0" xfId="0" applyNumberFormat="1" applyFont="1" applyFill="1" applyAlignment="1">
      <alignment horizontal="center"/>
    </xf>
    <xf numFmtId="1" fontId="19" fillId="0" borderId="12" xfId="0" applyNumberFormat="1" applyFont="1" applyBorder="1"/>
    <xf numFmtId="179" fontId="10" fillId="2" borderId="0" xfId="0" applyNumberFormat="1" applyFont="1" applyFill="1" applyAlignment="1">
      <alignment horizontal="center"/>
    </xf>
    <xf numFmtId="0" fontId="10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quotePrefix="1" applyFont="1"/>
    <xf numFmtId="0" fontId="42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10" fontId="3" fillId="0" borderId="12" xfId="0" applyNumberFormat="1" applyFont="1" applyBorder="1" applyAlignment="1">
      <alignment horizontal="center"/>
    </xf>
    <xf numFmtId="0" fontId="9" fillId="0" borderId="13" xfId="0" applyFont="1" applyBorder="1"/>
    <xf numFmtId="10" fontId="4" fillId="0" borderId="14" xfId="0" applyNumberFormat="1" applyFont="1" applyBorder="1" applyAlignment="1">
      <alignment horizontal="right"/>
    </xf>
    <xf numFmtId="164" fontId="10" fillId="2" borderId="15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9" fillId="0" borderId="14" xfId="0" applyFont="1" applyBorder="1"/>
    <xf numFmtId="0" fontId="1" fillId="0" borderId="14" xfId="0" applyFont="1" applyBorder="1"/>
    <xf numFmtId="10" fontId="10" fillId="0" borderId="14" xfId="0" applyNumberFormat="1" applyFont="1" applyBorder="1" applyAlignment="1">
      <alignment horizontal="right"/>
    </xf>
    <xf numFmtId="164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170" fontId="1" fillId="0" borderId="1" xfId="9" applyNumberFormat="1" applyFont="1" applyBorder="1"/>
    <xf numFmtId="170" fontId="10" fillId="0" borderId="0" xfId="0" applyNumberFormat="1" applyFont="1" applyAlignment="1">
      <alignment horizontal="center"/>
    </xf>
    <xf numFmtId="14" fontId="3" fillId="3" borderId="0" xfId="0" applyNumberFormat="1" applyFont="1" applyFill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74" fontId="3" fillId="0" borderId="1" xfId="0" applyNumberFormat="1" applyFont="1" applyBorder="1" applyAlignment="1">
      <alignment horizontal="center"/>
    </xf>
    <xf numFmtId="0" fontId="1" fillId="2" borderId="0" xfId="0" applyFont="1" applyFill="1"/>
    <xf numFmtId="166" fontId="4" fillId="0" borderId="0" xfId="0" applyNumberFormat="1" applyFont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43" fillId="0" borderId="0" xfId="0" applyFont="1"/>
    <xf numFmtId="10" fontId="10" fillId="2" borderId="1" xfId="0" applyNumberFormat="1" applyFont="1" applyFill="1" applyBorder="1" applyAlignment="1">
      <alignment horizontal="center" vertical="center"/>
    </xf>
    <xf numFmtId="164" fontId="3" fillId="8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right" vertical="center"/>
    </xf>
    <xf numFmtId="164" fontId="1" fillId="0" borderId="0" xfId="0" applyNumberFormat="1" applyFont="1" applyAlignment="1">
      <alignment vertical="center"/>
    </xf>
    <xf numFmtId="3" fontId="0" fillId="0" borderId="0" xfId="0" applyNumberFormat="1" applyAlignment="1">
      <alignment horizontal="right" wrapText="1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8" fillId="0" borderId="0" xfId="0" applyFont="1" applyAlignment="1">
      <alignment horizontal="left" vertical="center"/>
    </xf>
  </cellXfs>
  <cellStyles count="10">
    <cellStyle name="Hipervínculo" xfId="3" builtinId="8" hidden="1"/>
    <cellStyle name="Hipervínculo" xfId="1" builtinId="8" hidden="1"/>
    <cellStyle name="Hipervínculo" xfId="7" builtinId="8" hidden="1"/>
    <cellStyle name="Hipervínculo" xfId="5" builtinId="8" hidden="1"/>
    <cellStyle name="Hipervínculo visitado" xfId="4" builtinId="9" hidden="1"/>
    <cellStyle name="Hipervínculo visitado" xfId="2" builtinId="9" hidden="1"/>
    <cellStyle name="Hipervínculo visitado" xfId="8" builtinId="9" hidden="1"/>
    <cellStyle name="Hipervínculo visitado" xfId="6" builtinId="9" hidden="1"/>
    <cellStyle name="Normal" xfId="0" builtinId="0"/>
    <cellStyle name="Porcentaje" xfId="9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Ejemplos_exp!$C$10</c:f>
              <c:strCache>
                <c:ptCount val="1"/>
                <c:pt idx="0">
                  <c:v>Cn (LCS)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Ejemplos_exp!$B$11:$B$21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Ejemplos_exp!$C$11:$C$21</c:f>
              <c:numCache>
                <c:formatCode>#,##0</c:formatCode>
                <c:ptCount val="11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1-4DAD-A2CF-2765BD2EB17D}"/>
            </c:ext>
          </c:extLst>
        </c:ser>
        <c:ser>
          <c:idx val="1"/>
          <c:order val="1"/>
          <c:tx>
            <c:strRef>
              <c:f>Ejemplos_exp!$D$10</c:f>
              <c:strCache>
                <c:ptCount val="1"/>
                <c:pt idx="0">
                  <c:v>Cn (LCC)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Ejemplos_exp!$B$11:$B$21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Ejemplos_exp!$D$11:$D$21</c:f>
              <c:numCache>
                <c:formatCode>#,##0</c:formatCode>
                <c:ptCount val="11"/>
                <c:pt idx="0">
                  <c:v>10000</c:v>
                </c:pt>
                <c:pt idx="1">
                  <c:v>11000</c:v>
                </c:pt>
                <c:pt idx="2">
                  <c:v>12100.000000000002</c:v>
                </c:pt>
                <c:pt idx="3">
                  <c:v>13310.000000000004</c:v>
                </c:pt>
                <c:pt idx="4">
                  <c:v>14641.000000000004</c:v>
                </c:pt>
                <c:pt idx="5">
                  <c:v>16105.100000000006</c:v>
                </c:pt>
                <c:pt idx="6">
                  <c:v>17715.610000000008</c:v>
                </c:pt>
                <c:pt idx="7">
                  <c:v>19487.171000000013</c:v>
                </c:pt>
                <c:pt idx="8">
                  <c:v>21435.888100000011</c:v>
                </c:pt>
                <c:pt idx="9">
                  <c:v>23579.476910000016</c:v>
                </c:pt>
                <c:pt idx="10">
                  <c:v>25937.424601000017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1-4DAD-A2CF-2765BD2EB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841807"/>
        <c:axId val="973853455"/>
      </c:lineChart>
      <c:catAx>
        <c:axId val="97384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3853455"/>
        <c:crosses val="autoZero"/>
        <c:auto val="1"/>
        <c:lblAlgn val="ctr"/>
        <c:lblOffset val="100"/>
        <c:noMultiLvlLbl val="0"/>
      </c:catAx>
      <c:valAx>
        <c:axId val="97385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384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Ejemplos_exp!$D$34</c:f>
              <c:strCache>
                <c:ptCount val="1"/>
                <c:pt idx="0">
                  <c:v>C0 (LDSC)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Ejemplos_exp!$B$35:$B$45</c:f>
              <c:numCache>
                <c:formatCode>General</c:formatCode>
                <c:ptCount val="11"/>
                <c:pt idx="0">
                  <c:v>2030</c:v>
                </c:pt>
                <c:pt idx="1">
                  <c:v>2029</c:v>
                </c:pt>
                <c:pt idx="2">
                  <c:v>2028</c:v>
                </c:pt>
                <c:pt idx="3">
                  <c:v>2027</c:v>
                </c:pt>
                <c:pt idx="4">
                  <c:v>2026</c:v>
                </c:pt>
                <c:pt idx="5">
                  <c:v>2025</c:v>
                </c:pt>
                <c:pt idx="6">
                  <c:v>2024</c:v>
                </c:pt>
                <c:pt idx="7">
                  <c:v>2023</c:v>
                </c:pt>
                <c:pt idx="8">
                  <c:v>2022</c:v>
                </c:pt>
                <c:pt idx="9">
                  <c:v>2021</c:v>
                </c:pt>
                <c:pt idx="10">
                  <c:v>2020</c:v>
                </c:pt>
              </c:numCache>
            </c:numRef>
          </c:cat>
          <c:val>
            <c:numRef>
              <c:f>Ejemplos_exp!$D$35:$D$45</c:f>
              <c:numCache>
                <c:formatCode>#,##0</c:formatCode>
                <c:ptCount val="11"/>
                <c:pt idx="0">
                  <c:v>10000</c:v>
                </c:pt>
                <c:pt idx="1">
                  <c:v>9000</c:v>
                </c:pt>
                <c:pt idx="2">
                  <c:v>8000</c:v>
                </c:pt>
                <c:pt idx="3">
                  <c:v>7000</c:v>
                </c:pt>
                <c:pt idx="4">
                  <c:v>6000</c:v>
                </c:pt>
                <c:pt idx="5">
                  <c:v>5000</c:v>
                </c:pt>
                <c:pt idx="6">
                  <c:v>3999.9999999999991</c:v>
                </c:pt>
                <c:pt idx="7">
                  <c:v>2999.9999999999995</c:v>
                </c:pt>
                <c:pt idx="8">
                  <c:v>1999.9999999999995</c:v>
                </c:pt>
                <c:pt idx="9">
                  <c:v>999.99999999999977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A-4001-8FAC-9698DCDF0C50}"/>
            </c:ext>
          </c:extLst>
        </c:ser>
        <c:ser>
          <c:idx val="1"/>
          <c:order val="1"/>
          <c:tx>
            <c:strRef>
              <c:f>Ejemplos_exp!$E$34</c:f>
              <c:strCache>
                <c:ptCount val="1"/>
                <c:pt idx="0">
                  <c:v>C0 (LDC)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Ejemplos_exp!$B$35:$B$45</c:f>
              <c:numCache>
                <c:formatCode>General</c:formatCode>
                <c:ptCount val="11"/>
                <c:pt idx="0">
                  <c:v>2030</c:v>
                </c:pt>
                <c:pt idx="1">
                  <c:v>2029</c:v>
                </c:pt>
                <c:pt idx="2">
                  <c:v>2028</c:v>
                </c:pt>
                <c:pt idx="3">
                  <c:v>2027</c:v>
                </c:pt>
                <c:pt idx="4">
                  <c:v>2026</c:v>
                </c:pt>
                <c:pt idx="5">
                  <c:v>2025</c:v>
                </c:pt>
                <c:pt idx="6">
                  <c:v>2024</c:v>
                </c:pt>
                <c:pt idx="7">
                  <c:v>2023</c:v>
                </c:pt>
                <c:pt idx="8">
                  <c:v>2022</c:v>
                </c:pt>
                <c:pt idx="9">
                  <c:v>2021</c:v>
                </c:pt>
                <c:pt idx="10">
                  <c:v>2020</c:v>
                </c:pt>
              </c:numCache>
            </c:numRef>
          </c:cat>
          <c:val>
            <c:numRef>
              <c:f>Ejemplos_exp!$E$35:$E$45</c:f>
              <c:numCache>
                <c:formatCode>#,##0.0</c:formatCode>
                <c:ptCount val="11"/>
                <c:pt idx="0" formatCode="#,##0">
                  <c:v>10000</c:v>
                </c:pt>
                <c:pt idx="1">
                  <c:v>9090.9090909090901</c:v>
                </c:pt>
                <c:pt idx="2">
                  <c:v>8264.4628099173533</c:v>
                </c:pt>
                <c:pt idx="3">
                  <c:v>7513.1480090157756</c:v>
                </c:pt>
                <c:pt idx="4">
                  <c:v>6830.1345536507051</c:v>
                </c:pt>
                <c:pt idx="5">
                  <c:v>6209.2132305915493</c:v>
                </c:pt>
                <c:pt idx="6">
                  <c:v>5644.7393005377717</c:v>
                </c:pt>
                <c:pt idx="7">
                  <c:v>5131.5811823070644</c:v>
                </c:pt>
                <c:pt idx="8">
                  <c:v>4665.0738020973313</c:v>
                </c:pt>
                <c:pt idx="9">
                  <c:v>4240.976183724847</c:v>
                </c:pt>
                <c:pt idx="10">
                  <c:v>3855.4328942953148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2A-4001-8FAC-9698DCDF0C50}"/>
            </c:ext>
          </c:extLst>
        </c:ser>
        <c:ser>
          <c:idx val="2"/>
          <c:order val="2"/>
          <c:tx>
            <c:strRef>
              <c:f>Ejemplos_exp!$C$34</c:f>
              <c:strCache>
                <c:ptCount val="1"/>
                <c:pt idx="0">
                  <c:v>C0 (LDSR)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Ejemplos_exp!$C$35:$C$45</c:f>
              <c:numCache>
                <c:formatCode>#,##0.0</c:formatCode>
                <c:ptCount val="11"/>
                <c:pt idx="0" formatCode="#,##0">
                  <c:v>10000</c:v>
                </c:pt>
                <c:pt idx="1">
                  <c:v>9090.9090909090901</c:v>
                </c:pt>
                <c:pt idx="2">
                  <c:v>8333.3333333333339</c:v>
                </c:pt>
                <c:pt idx="3">
                  <c:v>7692.3076923076924</c:v>
                </c:pt>
                <c:pt idx="4">
                  <c:v>7142.8571428571431</c:v>
                </c:pt>
                <c:pt idx="5">
                  <c:v>6666.666666666667</c:v>
                </c:pt>
                <c:pt idx="6">
                  <c:v>6250</c:v>
                </c:pt>
                <c:pt idx="7">
                  <c:v>5882.3529411764703</c:v>
                </c:pt>
                <c:pt idx="8">
                  <c:v>5555.5555555555557</c:v>
                </c:pt>
                <c:pt idx="9">
                  <c:v>5263.1578947368425</c:v>
                </c:pt>
                <c:pt idx="10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2A-4001-8FAC-9698DCDF0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690607"/>
        <c:axId val="840678543"/>
      </c:lineChart>
      <c:catAx>
        <c:axId val="840690607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0678543"/>
        <c:crosses val="autoZero"/>
        <c:auto val="1"/>
        <c:lblAlgn val="ctr"/>
        <c:lblOffset val="100"/>
        <c:noMultiLvlLbl val="0"/>
      </c:catAx>
      <c:valAx>
        <c:axId val="8406785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069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606569</xdr:colOff>
      <xdr:row>4</xdr:row>
      <xdr:rowOff>132484</xdr:rowOff>
    </xdr:from>
    <xdr:to>
      <xdr:col>10</xdr:col>
      <xdr:colOff>675411</xdr:colOff>
      <xdr:row>20</xdr:row>
      <xdr:rowOff>132484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371476</xdr:colOff>
      <xdr:row>28</xdr:row>
      <xdr:rowOff>114300</xdr:rowOff>
    </xdr:from>
    <xdr:to>
      <xdr:col>11</xdr:col>
      <xdr:colOff>581026</xdr:colOff>
      <xdr:row>45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5</xdr:row>
      <xdr:rowOff>295275</xdr:rowOff>
    </xdr:from>
    <xdr:to>
      <xdr:col>2</xdr:col>
      <xdr:colOff>9525</xdr:colOff>
      <xdr:row>6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FD868E4E-401A-4484-B8E8-B8EABD55FDDA}"/>
            </a:ext>
          </a:extLst>
        </xdr:cNvPr>
        <xdr:cNvCxnSpPr/>
      </xdr:nvCxnSpPr>
      <xdr:spPr>
        <a:xfrm>
          <a:off x="1533525" y="1314450"/>
          <a:ext cx="0" cy="152400"/>
        </a:xfrm>
        <a:prstGeom prst="line">
          <a:avLst/>
        </a:prstGeom>
        <a:ln w="1905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5</xdr:row>
      <xdr:rowOff>314325</xdr:rowOff>
    </xdr:from>
    <xdr:to>
      <xdr:col>2</xdr:col>
      <xdr:colOff>752475</xdr:colOff>
      <xdr:row>6</xdr:row>
      <xdr:rowOff>123825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7C80F7D2-19BD-4733-9D5E-D54DA11C406A}"/>
            </a:ext>
          </a:extLst>
        </xdr:cNvPr>
        <xdr:cNvCxnSpPr/>
      </xdr:nvCxnSpPr>
      <xdr:spPr>
        <a:xfrm>
          <a:off x="2276475" y="1314450"/>
          <a:ext cx="0" cy="123825"/>
        </a:xfrm>
        <a:prstGeom prst="line">
          <a:avLst/>
        </a:prstGeom>
        <a:ln w="1905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5</xdr:row>
      <xdr:rowOff>247650</xdr:rowOff>
    </xdr:from>
    <xdr:to>
      <xdr:col>4</xdr:col>
      <xdr:colOff>9525</xdr:colOff>
      <xdr:row>6</xdr:row>
      <xdr:rowOff>123825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DF07A82D-371B-46B6-BA28-73121F9E0A3E}"/>
            </a:ext>
          </a:extLst>
        </xdr:cNvPr>
        <xdr:cNvCxnSpPr/>
      </xdr:nvCxnSpPr>
      <xdr:spPr>
        <a:xfrm>
          <a:off x="3057525" y="1314450"/>
          <a:ext cx="0" cy="123825"/>
        </a:xfrm>
        <a:prstGeom prst="line">
          <a:avLst/>
        </a:prstGeom>
        <a:ln w="1905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5</xdr:row>
      <xdr:rowOff>238125</xdr:rowOff>
    </xdr:from>
    <xdr:to>
      <xdr:col>5</xdr:col>
      <xdr:colOff>0</xdr:colOff>
      <xdr:row>6</xdr:row>
      <xdr:rowOff>114300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70B65C09-4F55-4DF0-B84D-4ADC84B15BB0}"/>
            </a:ext>
          </a:extLst>
        </xdr:cNvPr>
        <xdr:cNvCxnSpPr/>
      </xdr:nvCxnSpPr>
      <xdr:spPr>
        <a:xfrm>
          <a:off x="3810000" y="1314450"/>
          <a:ext cx="0" cy="114300"/>
        </a:xfrm>
        <a:prstGeom prst="line">
          <a:avLst/>
        </a:prstGeom>
        <a:ln w="1905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5</xdr:row>
      <xdr:rowOff>247650</xdr:rowOff>
    </xdr:from>
    <xdr:to>
      <xdr:col>6</xdr:col>
      <xdr:colOff>0</xdr:colOff>
      <xdr:row>6</xdr:row>
      <xdr:rowOff>123825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6888556D-D599-4004-8062-68AD242D986C}"/>
            </a:ext>
          </a:extLst>
        </xdr:cNvPr>
        <xdr:cNvCxnSpPr/>
      </xdr:nvCxnSpPr>
      <xdr:spPr>
        <a:xfrm>
          <a:off x="4572000" y="1314450"/>
          <a:ext cx="0" cy="123825"/>
        </a:xfrm>
        <a:prstGeom prst="line">
          <a:avLst/>
        </a:prstGeom>
        <a:ln w="1905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5</xdr:row>
      <xdr:rowOff>257175</xdr:rowOff>
    </xdr:from>
    <xdr:to>
      <xdr:col>7</xdr:col>
      <xdr:colOff>0</xdr:colOff>
      <xdr:row>6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B5107987-DBC6-412E-BD2B-35FE36546D7A}"/>
            </a:ext>
          </a:extLst>
        </xdr:cNvPr>
        <xdr:cNvCxnSpPr/>
      </xdr:nvCxnSpPr>
      <xdr:spPr>
        <a:xfrm>
          <a:off x="5334000" y="1314450"/>
          <a:ext cx="0" cy="133350"/>
        </a:xfrm>
        <a:prstGeom prst="line">
          <a:avLst/>
        </a:prstGeom>
        <a:ln w="1905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266700</xdr:rowOff>
    </xdr:from>
    <xdr:to>
      <xdr:col>8</xdr:col>
      <xdr:colOff>0</xdr:colOff>
      <xdr:row>6</xdr:row>
      <xdr:rowOff>142875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3FB64790-BED5-47A9-B8AF-D96CE9B9D563}"/>
            </a:ext>
          </a:extLst>
        </xdr:cNvPr>
        <xdr:cNvCxnSpPr/>
      </xdr:nvCxnSpPr>
      <xdr:spPr>
        <a:xfrm>
          <a:off x="6381750" y="1314450"/>
          <a:ext cx="0" cy="142875"/>
        </a:xfrm>
        <a:prstGeom prst="line">
          <a:avLst/>
        </a:prstGeom>
        <a:ln w="1905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5</xdr:row>
      <xdr:rowOff>276225</xdr:rowOff>
    </xdr:from>
    <xdr:to>
      <xdr:col>9</xdr:col>
      <xdr:colOff>19051</xdr:colOff>
      <xdr:row>6</xdr:row>
      <xdr:rowOff>123825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1EF8DE8D-ADD4-4AA7-B986-711456A50CD9}"/>
            </a:ext>
          </a:extLst>
        </xdr:cNvPr>
        <xdr:cNvCxnSpPr/>
      </xdr:nvCxnSpPr>
      <xdr:spPr>
        <a:xfrm>
          <a:off x="7181850" y="1314450"/>
          <a:ext cx="9526" cy="123825"/>
        </a:xfrm>
        <a:prstGeom prst="line">
          <a:avLst/>
        </a:prstGeom>
        <a:ln w="1905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</xdr:row>
      <xdr:rowOff>304800</xdr:rowOff>
    </xdr:from>
    <xdr:to>
      <xdr:col>10</xdr:col>
      <xdr:colOff>9525</xdr:colOff>
      <xdr:row>6</xdr:row>
      <xdr:rowOff>133350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F9AB98D5-68D4-491D-9548-D58C49281C0E}"/>
            </a:ext>
          </a:extLst>
        </xdr:cNvPr>
        <xdr:cNvCxnSpPr/>
      </xdr:nvCxnSpPr>
      <xdr:spPr>
        <a:xfrm flipH="1">
          <a:off x="7934325" y="1314450"/>
          <a:ext cx="9525" cy="133350"/>
        </a:xfrm>
        <a:prstGeom prst="line">
          <a:avLst/>
        </a:prstGeom>
        <a:ln w="1905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22</xdr:row>
      <xdr:rowOff>295275</xdr:rowOff>
    </xdr:from>
    <xdr:to>
      <xdr:col>2</xdr:col>
      <xdr:colOff>9525</xdr:colOff>
      <xdr:row>23</xdr:row>
      <xdr:rowOff>152400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EFA79B54-0D75-4DFD-9F7E-04145019AD31}"/>
            </a:ext>
          </a:extLst>
        </xdr:cNvPr>
        <xdr:cNvCxnSpPr/>
      </xdr:nvCxnSpPr>
      <xdr:spPr>
        <a:xfrm>
          <a:off x="1533525" y="4819650"/>
          <a:ext cx="0" cy="152400"/>
        </a:xfrm>
        <a:prstGeom prst="line">
          <a:avLst/>
        </a:prstGeom>
        <a:ln w="1905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22</xdr:row>
      <xdr:rowOff>314325</xdr:rowOff>
    </xdr:from>
    <xdr:to>
      <xdr:col>2</xdr:col>
      <xdr:colOff>752475</xdr:colOff>
      <xdr:row>23</xdr:row>
      <xdr:rowOff>123825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611178A4-4F79-41F9-9D89-6BFD2A5E0735}"/>
            </a:ext>
          </a:extLst>
        </xdr:cNvPr>
        <xdr:cNvCxnSpPr/>
      </xdr:nvCxnSpPr>
      <xdr:spPr>
        <a:xfrm>
          <a:off x="2276475" y="4819650"/>
          <a:ext cx="0" cy="123825"/>
        </a:xfrm>
        <a:prstGeom prst="line">
          <a:avLst/>
        </a:prstGeom>
        <a:ln w="1905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22</xdr:row>
      <xdr:rowOff>247650</xdr:rowOff>
    </xdr:from>
    <xdr:to>
      <xdr:col>4</xdr:col>
      <xdr:colOff>9525</xdr:colOff>
      <xdr:row>23</xdr:row>
      <xdr:rowOff>123825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8DF919D2-168C-4C2A-B4C4-73D60445F23F}"/>
            </a:ext>
          </a:extLst>
        </xdr:cNvPr>
        <xdr:cNvCxnSpPr/>
      </xdr:nvCxnSpPr>
      <xdr:spPr>
        <a:xfrm>
          <a:off x="3057525" y="4819650"/>
          <a:ext cx="0" cy="123825"/>
        </a:xfrm>
        <a:prstGeom prst="line">
          <a:avLst/>
        </a:prstGeom>
        <a:ln w="1905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22</xdr:row>
      <xdr:rowOff>238125</xdr:rowOff>
    </xdr:from>
    <xdr:to>
      <xdr:col>5</xdr:col>
      <xdr:colOff>0</xdr:colOff>
      <xdr:row>23</xdr:row>
      <xdr:rowOff>114300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DB8D649E-4564-42A3-9CED-E36D34855428}"/>
            </a:ext>
          </a:extLst>
        </xdr:cNvPr>
        <xdr:cNvCxnSpPr/>
      </xdr:nvCxnSpPr>
      <xdr:spPr>
        <a:xfrm>
          <a:off x="3810000" y="4819650"/>
          <a:ext cx="0" cy="114300"/>
        </a:xfrm>
        <a:prstGeom prst="line">
          <a:avLst/>
        </a:prstGeom>
        <a:ln w="1905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22</xdr:row>
      <xdr:rowOff>266700</xdr:rowOff>
    </xdr:from>
    <xdr:to>
      <xdr:col>8</xdr:col>
      <xdr:colOff>0</xdr:colOff>
      <xdr:row>23</xdr:row>
      <xdr:rowOff>142875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37E8E36A-C160-4E89-87DB-86440CBEAEF8}"/>
            </a:ext>
          </a:extLst>
        </xdr:cNvPr>
        <xdr:cNvCxnSpPr/>
      </xdr:nvCxnSpPr>
      <xdr:spPr>
        <a:xfrm>
          <a:off x="6381750" y="4819650"/>
          <a:ext cx="0" cy="142875"/>
        </a:xfrm>
        <a:prstGeom prst="line">
          <a:avLst/>
        </a:prstGeom>
        <a:ln w="1905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22</xdr:row>
      <xdr:rowOff>276225</xdr:rowOff>
    </xdr:from>
    <xdr:to>
      <xdr:col>9</xdr:col>
      <xdr:colOff>19051</xdr:colOff>
      <xdr:row>23</xdr:row>
      <xdr:rowOff>123825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4CF4C007-F7E3-4286-9126-C57702AC521C}"/>
            </a:ext>
          </a:extLst>
        </xdr:cNvPr>
        <xdr:cNvCxnSpPr/>
      </xdr:nvCxnSpPr>
      <xdr:spPr>
        <a:xfrm>
          <a:off x="7181850" y="4819650"/>
          <a:ext cx="9526" cy="123825"/>
        </a:xfrm>
        <a:prstGeom prst="line">
          <a:avLst/>
        </a:prstGeom>
        <a:ln w="1905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22</xdr:row>
      <xdr:rowOff>304800</xdr:rowOff>
    </xdr:from>
    <xdr:to>
      <xdr:col>10</xdr:col>
      <xdr:colOff>9525</xdr:colOff>
      <xdr:row>23</xdr:row>
      <xdr:rowOff>133350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6D87E7FD-7407-434F-A196-A6B1C2D76D21}"/>
            </a:ext>
          </a:extLst>
        </xdr:cNvPr>
        <xdr:cNvCxnSpPr/>
      </xdr:nvCxnSpPr>
      <xdr:spPr>
        <a:xfrm flipH="1">
          <a:off x="7934325" y="4819650"/>
          <a:ext cx="9525" cy="133350"/>
        </a:xfrm>
        <a:prstGeom prst="line">
          <a:avLst/>
        </a:prstGeom>
        <a:ln w="1905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752475</xdr:colOff>
      <xdr:row>22</xdr:row>
      <xdr:rowOff>314325</xdr:rowOff>
    </xdr:from>
    <xdr:to>
      <xdr:col>5</xdr:col>
      <xdr:colOff>752475</xdr:colOff>
      <xdr:row>23</xdr:row>
      <xdr:rowOff>123825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ABF2A048-B223-4072-8120-41FC82EED05B}"/>
            </a:ext>
          </a:extLst>
        </xdr:cNvPr>
        <xdr:cNvCxnSpPr/>
      </xdr:nvCxnSpPr>
      <xdr:spPr>
        <a:xfrm>
          <a:off x="4562475" y="4819650"/>
          <a:ext cx="0" cy="123825"/>
        </a:xfrm>
        <a:prstGeom prst="line">
          <a:avLst/>
        </a:prstGeom>
        <a:ln w="1905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752475</xdr:colOff>
      <xdr:row>22</xdr:row>
      <xdr:rowOff>314325</xdr:rowOff>
    </xdr:from>
    <xdr:to>
      <xdr:col>6</xdr:col>
      <xdr:colOff>752475</xdr:colOff>
      <xdr:row>23</xdr:row>
      <xdr:rowOff>123825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9EDBBB9A-3CA9-4A80-8C28-37C47383F4F0}"/>
            </a:ext>
          </a:extLst>
        </xdr:cNvPr>
        <xdr:cNvCxnSpPr/>
      </xdr:nvCxnSpPr>
      <xdr:spPr>
        <a:xfrm>
          <a:off x="5324475" y="4819650"/>
          <a:ext cx="0" cy="123825"/>
        </a:xfrm>
        <a:prstGeom prst="line">
          <a:avLst/>
        </a:prstGeom>
        <a:ln w="1905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752475</xdr:colOff>
      <xdr:row>22</xdr:row>
      <xdr:rowOff>285750</xdr:rowOff>
    </xdr:from>
    <xdr:to>
      <xdr:col>11</xdr:col>
      <xdr:colOff>752475</xdr:colOff>
      <xdr:row>23</xdr:row>
      <xdr:rowOff>95250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F1556082-9D79-4D98-8A62-93A106F53C31}"/>
            </a:ext>
          </a:extLst>
        </xdr:cNvPr>
        <xdr:cNvCxnSpPr/>
      </xdr:nvCxnSpPr>
      <xdr:spPr>
        <a:xfrm>
          <a:off x="9448800" y="4819650"/>
          <a:ext cx="0" cy="95250"/>
        </a:xfrm>
        <a:prstGeom prst="line">
          <a:avLst/>
        </a:prstGeom>
        <a:ln w="1905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752475</xdr:colOff>
      <xdr:row>22</xdr:row>
      <xdr:rowOff>314325</xdr:rowOff>
    </xdr:from>
    <xdr:to>
      <xdr:col>10</xdr:col>
      <xdr:colOff>752475</xdr:colOff>
      <xdr:row>23</xdr:row>
      <xdr:rowOff>123825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D9D31086-5533-41C0-84E1-F7EA4A7DE424}"/>
            </a:ext>
          </a:extLst>
        </xdr:cNvPr>
        <xdr:cNvCxnSpPr/>
      </xdr:nvCxnSpPr>
      <xdr:spPr>
        <a:xfrm>
          <a:off x="8686800" y="4819650"/>
          <a:ext cx="0" cy="123825"/>
        </a:xfrm>
        <a:prstGeom prst="line">
          <a:avLst/>
        </a:prstGeom>
        <a:ln w="1905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41</xdr:row>
      <xdr:rowOff>314325</xdr:rowOff>
    </xdr:from>
    <xdr:to>
      <xdr:col>2</xdr:col>
      <xdr:colOff>752475</xdr:colOff>
      <xdr:row>42</xdr:row>
      <xdr:rowOff>123825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C159C424-6827-4FB5-BF64-0DA3A0C08236}"/>
            </a:ext>
          </a:extLst>
        </xdr:cNvPr>
        <xdr:cNvCxnSpPr/>
      </xdr:nvCxnSpPr>
      <xdr:spPr>
        <a:xfrm>
          <a:off x="2276475" y="8705850"/>
          <a:ext cx="0" cy="123825"/>
        </a:xfrm>
        <a:prstGeom prst="line">
          <a:avLst/>
        </a:prstGeom>
        <a:ln w="1905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41</xdr:row>
      <xdr:rowOff>247650</xdr:rowOff>
    </xdr:from>
    <xdr:to>
      <xdr:col>4</xdr:col>
      <xdr:colOff>9525</xdr:colOff>
      <xdr:row>42</xdr:row>
      <xdr:rowOff>123825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B7038267-202F-445E-A142-F3FA17DB269C}"/>
            </a:ext>
          </a:extLst>
        </xdr:cNvPr>
        <xdr:cNvCxnSpPr/>
      </xdr:nvCxnSpPr>
      <xdr:spPr>
        <a:xfrm>
          <a:off x="3057525" y="8705850"/>
          <a:ext cx="0" cy="123825"/>
        </a:xfrm>
        <a:prstGeom prst="line">
          <a:avLst/>
        </a:prstGeom>
        <a:ln w="1905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41</xdr:row>
      <xdr:rowOff>238125</xdr:rowOff>
    </xdr:from>
    <xdr:to>
      <xdr:col>5</xdr:col>
      <xdr:colOff>0</xdr:colOff>
      <xdr:row>42</xdr:row>
      <xdr:rowOff>114300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54C62CBB-D0A7-4711-9E03-3F54EAEF9E36}"/>
            </a:ext>
          </a:extLst>
        </xdr:cNvPr>
        <xdr:cNvCxnSpPr/>
      </xdr:nvCxnSpPr>
      <xdr:spPr>
        <a:xfrm>
          <a:off x="3810000" y="8705850"/>
          <a:ext cx="0" cy="114300"/>
        </a:xfrm>
        <a:prstGeom prst="line">
          <a:avLst/>
        </a:prstGeom>
        <a:ln w="1905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41</xdr:row>
      <xdr:rowOff>247650</xdr:rowOff>
    </xdr:from>
    <xdr:to>
      <xdr:col>6</xdr:col>
      <xdr:colOff>0</xdr:colOff>
      <xdr:row>42</xdr:row>
      <xdr:rowOff>123825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D9D2C1C3-F223-4ECB-B1B0-9A8BDD51BDB7}"/>
            </a:ext>
          </a:extLst>
        </xdr:cNvPr>
        <xdr:cNvCxnSpPr/>
      </xdr:nvCxnSpPr>
      <xdr:spPr>
        <a:xfrm>
          <a:off x="4572000" y="8705850"/>
          <a:ext cx="0" cy="123825"/>
        </a:xfrm>
        <a:prstGeom prst="line">
          <a:avLst/>
        </a:prstGeom>
        <a:ln w="1905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41</xdr:row>
      <xdr:rowOff>257175</xdr:rowOff>
    </xdr:from>
    <xdr:to>
      <xdr:col>7</xdr:col>
      <xdr:colOff>0</xdr:colOff>
      <xdr:row>42</xdr:row>
      <xdr:rowOff>133350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4040EEE0-BAFD-466E-AFB6-CA9DA5EB65FE}"/>
            </a:ext>
          </a:extLst>
        </xdr:cNvPr>
        <xdr:cNvCxnSpPr/>
      </xdr:nvCxnSpPr>
      <xdr:spPr>
        <a:xfrm>
          <a:off x="5334000" y="8705850"/>
          <a:ext cx="0" cy="133350"/>
        </a:xfrm>
        <a:prstGeom prst="line">
          <a:avLst/>
        </a:prstGeom>
        <a:ln w="1905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41</xdr:row>
      <xdr:rowOff>266700</xdr:rowOff>
    </xdr:from>
    <xdr:to>
      <xdr:col>8</xdr:col>
      <xdr:colOff>0</xdr:colOff>
      <xdr:row>42</xdr:row>
      <xdr:rowOff>142875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9B6F5A9F-DB90-4C67-862E-EBE705FC514A}"/>
            </a:ext>
          </a:extLst>
        </xdr:cNvPr>
        <xdr:cNvCxnSpPr/>
      </xdr:nvCxnSpPr>
      <xdr:spPr>
        <a:xfrm>
          <a:off x="6381750" y="8705850"/>
          <a:ext cx="0" cy="142875"/>
        </a:xfrm>
        <a:prstGeom prst="line">
          <a:avLst/>
        </a:prstGeom>
        <a:ln w="1905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41</xdr:row>
      <xdr:rowOff>276225</xdr:rowOff>
    </xdr:from>
    <xdr:to>
      <xdr:col>9</xdr:col>
      <xdr:colOff>19051</xdr:colOff>
      <xdr:row>42</xdr:row>
      <xdr:rowOff>123825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3BC48D9B-D672-49DA-8ACE-DBC6999D894E}"/>
            </a:ext>
          </a:extLst>
        </xdr:cNvPr>
        <xdr:cNvCxnSpPr/>
      </xdr:nvCxnSpPr>
      <xdr:spPr>
        <a:xfrm>
          <a:off x="7181850" y="8705850"/>
          <a:ext cx="9526" cy="123825"/>
        </a:xfrm>
        <a:prstGeom prst="line">
          <a:avLst/>
        </a:prstGeom>
        <a:ln w="1905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41</xdr:row>
      <xdr:rowOff>304800</xdr:rowOff>
    </xdr:from>
    <xdr:to>
      <xdr:col>10</xdr:col>
      <xdr:colOff>9525</xdr:colOff>
      <xdr:row>42</xdr:row>
      <xdr:rowOff>133350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28FA3D79-58F9-4204-9BF4-DED9A23B548D}"/>
            </a:ext>
          </a:extLst>
        </xdr:cNvPr>
        <xdr:cNvCxnSpPr/>
      </xdr:nvCxnSpPr>
      <xdr:spPr>
        <a:xfrm flipH="1">
          <a:off x="7934325" y="8705850"/>
          <a:ext cx="9525" cy="133350"/>
        </a:xfrm>
        <a:prstGeom prst="line">
          <a:avLst/>
        </a:prstGeom>
        <a:ln w="1905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41</xdr:row>
      <xdr:rowOff>276225</xdr:rowOff>
    </xdr:from>
    <xdr:to>
      <xdr:col>8</xdr:col>
      <xdr:colOff>19050</xdr:colOff>
      <xdr:row>42</xdr:row>
      <xdr:rowOff>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334B381-06EA-4348-ABDE-43B0364FA164}"/>
            </a:ext>
          </a:extLst>
        </xdr:cNvPr>
        <xdr:cNvCxnSpPr/>
      </xdr:nvCxnSpPr>
      <xdr:spPr>
        <a:xfrm>
          <a:off x="6400800" y="8705850"/>
          <a:ext cx="0" cy="0"/>
        </a:xfrm>
        <a:prstGeom prst="line">
          <a:avLst/>
        </a:prstGeom>
        <a:ln w="1905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752475</xdr:colOff>
      <xdr:row>41</xdr:row>
      <xdr:rowOff>285750</xdr:rowOff>
    </xdr:from>
    <xdr:to>
      <xdr:col>16</xdr:col>
      <xdr:colOff>752475</xdr:colOff>
      <xdr:row>42</xdr:row>
      <xdr:rowOff>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0E510042-196E-4DDF-BE3E-BC31656F3CB2}"/>
            </a:ext>
          </a:extLst>
        </xdr:cNvPr>
        <xdr:cNvCxnSpPr/>
      </xdr:nvCxnSpPr>
      <xdr:spPr>
        <a:xfrm>
          <a:off x="13582650" y="8705850"/>
          <a:ext cx="0" cy="0"/>
        </a:xfrm>
        <a:prstGeom prst="line">
          <a:avLst/>
        </a:prstGeom>
        <a:ln w="1905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41</xdr:row>
      <xdr:rowOff>266700</xdr:rowOff>
    </xdr:from>
    <xdr:to>
      <xdr:col>14</xdr:col>
      <xdr:colOff>0</xdr:colOff>
      <xdr:row>42</xdr:row>
      <xdr:rowOff>95250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1AC0675B-80D9-4AA6-84BB-D7D4CA518D06}"/>
            </a:ext>
          </a:extLst>
        </xdr:cNvPr>
        <xdr:cNvCxnSpPr/>
      </xdr:nvCxnSpPr>
      <xdr:spPr>
        <a:xfrm>
          <a:off x="10982325" y="8705850"/>
          <a:ext cx="0" cy="95250"/>
        </a:xfrm>
        <a:prstGeom prst="line">
          <a:avLst/>
        </a:prstGeom>
        <a:ln w="1905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42</xdr:row>
      <xdr:rowOff>1</xdr:rowOff>
    </xdr:from>
    <xdr:to>
      <xdr:col>12</xdr:col>
      <xdr:colOff>1</xdr:colOff>
      <xdr:row>42</xdr:row>
      <xdr:rowOff>180975</xdr:rowOff>
    </xdr:to>
    <xdr:cxnSp macro="">
      <xdr:nvCxnSpPr>
        <xdr:cNvPr id="33" name="Conector recto 32">
          <a:extLst>
            <a:ext uri="{FF2B5EF4-FFF2-40B4-BE49-F238E27FC236}">
              <a16:creationId xmlns:a16="http://schemas.microsoft.com/office/drawing/2014/main" id="{8BD056E9-0668-4297-A9E0-F0A702E92C70}"/>
            </a:ext>
          </a:extLst>
        </xdr:cNvPr>
        <xdr:cNvCxnSpPr/>
      </xdr:nvCxnSpPr>
      <xdr:spPr>
        <a:xfrm flipV="1">
          <a:off x="9458325" y="8705851"/>
          <a:ext cx="1" cy="180974"/>
        </a:xfrm>
        <a:prstGeom prst="line">
          <a:avLst/>
        </a:prstGeom>
        <a:ln w="1905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752475</xdr:colOff>
      <xdr:row>41</xdr:row>
      <xdr:rowOff>200026</xdr:rowOff>
    </xdr:from>
    <xdr:to>
      <xdr:col>12</xdr:col>
      <xdr:colOff>752476</xdr:colOff>
      <xdr:row>42</xdr:row>
      <xdr:rowOff>171450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7B8D6FFF-FF57-4BF7-BCC8-42F599481770}"/>
            </a:ext>
          </a:extLst>
        </xdr:cNvPr>
        <xdr:cNvCxnSpPr/>
      </xdr:nvCxnSpPr>
      <xdr:spPr>
        <a:xfrm flipV="1">
          <a:off x="10210800" y="8696326"/>
          <a:ext cx="1" cy="180974"/>
        </a:xfrm>
        <a:prstGeom prst="line">
          <a:avLst/>
        </a:prstGeom>
        <a:ln w="1905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41</xdr:row>
      <xdr:rowOff>295275</xdr:rowOff>
    </xdr:from>
    <xdr:to>
      <xdr:col>17</xdr:col>
      <xdr:colOff>0</xdr:colOff>
      <xdr:row>42</xdr:row>
      <xdr:rowOff>123825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CE376258-05AE-4E86-BB1E-8A9D6C9B5EEA}"/>
            </a:ext>
          </a:extLst>
        </xdr:cNvPr>
        <xdr:cNvCxnSpPr/>
      </xdr:nvCxnSpPr>
      <xdr:spPr>
        <a:xfrm>
          <a:off x="13592175" y="8705850"/>
          <a:ext cx="0" cy="123825"/>
        </a:xfrm>
        <a:prstGeom prst="line">
          <a:avLst/>
        </a:prstGeom>
        <a:ln w="1905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41</xdr:row>
      <xdr:rowOff>371476</xdr:rowOff>
    </xdr:from>
    <xdr:to>
      <xdr:col>15</xdr:col>
      <xdr:colOff>9526</xdr:colOff>
      <xdr:row>42</xdr:row>
      <xdr:rowOff>161925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C3D7E74D-4F46-4BA8-8C78-7CE4224876C5}"/>
            </a:ext>
          </a:extLst>
        </xdr:cNvPr>
        <xdr:cNvCxnSpPr/>
      </xdr:nvCxnSpPr>
      <xdr:spPr>
        <a:xfrm flipV="1">
          <a:off x="11753850" y="8705851"/>
          <a:ext cx="1" cy="161924"/>
        </a:xfrm>
        <a:prstGeom prst="line">
          <a:avLst/>
        </a:prstGeom>
        <a:ln w="1905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41</xdr:row>
      <xdr:rowOff>381001</xdr:rowOff>
    </xdr:from>
    <xdr:to>
      <xdr:col>16</xdr:col>
      <xdr:colOff>1</xdr:colOff>
      <xdr:row>42</xdr:row>
      <xdr:rowOff>171450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C6F71FBA-FB30-4AC7-B232-0C3F51CE806E}"/>
            </a:ext>
          </a:extLst>
        </xdr:cNvPr>
        <xdr:cNvCxnSpPr/>
      </xdr:nvCxnSpPr>
      <xdr:spPr>
        <a:xfrm flipV="1">
          <a:off x="12830175" y="8705851"/>
          <a:ext cx="1" cy="171449"/>
        </a:xfrm>
        <a:prstGeom prst="line">
          <a:avLst/>
        </a:prstGeom>
        <a:ln w="1905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41</xdr:row>
      <xdr:rowOff>200026</xdr:rowOff>
    </xdr:from>
    <xdr:to>
      <xdr:col>11</xdr:col>
      <xdr:colOff>9526</xdr:colOff>
      <xdr:row>42</xdr:row>
      <xdr:rowOff>171450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25AAC6DA-CED3-4200-9C5B-49BECB4B1FC0}"/>
            </a:ext>
          </a:extLst>
        </xdr:cNvPr>
        <xdr:cNvCxnSpPr/>
      </xdr:nvCxnSpPr>
      <xdr:spPr>
        <a:xfrm flipV="1">
          <a:off x="8705850" y="8696326"/>
          <a:ext cx="1" cy="180974"/>
        </a:xfrm>
        <a:prstGeom prst="line">
          <a:avLst/>
        </a:prstGeom>
        <a:ln w="1905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47"/>
  <sheetViews>
    <sheetView topLeftCell="A13" zoomScaleNormal="100" workbookViewId="0">
      <selection activeCell="C36" sqref="C36"/>
    </sheetView>
  </sheetViews>
  <sheetFormatPr defaultColWidth="11.42578125" defaultRowHeight="14.45"/>
  <cols>
    <col min="1" max="1" width="22.140625" customWidth="1"/>
    <col min="2" max="2" width="16.28515625" customWidth="1"/>
    <col min="3" max="3" width="14.28515625" customWidth="1"/>
    <col min="4" max="4" width="15.140625" customWidth="1"/>
    <col min="5" max="5" width="15.5703125" customWidth="1"/>
  </cols>
  <sheetData>
    <row r="2" spans="1:11" ht="18.600000000000001">
      <c r="A2" s="116" t="s">
        <v>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</row>
    <row r="4" spans="1:11">
      <c r="A4" s="41" t="s">
        <v>1</v>
      </c>
      <c r="B4" s="128">
        <v>0.1</v>
      </c>
    </row>
    <row r="5" spans="1:11" ht="16.5">
      <c r="A5" s="41" t="s">
        <v>2</v>
      </c>
      <c r="B5" s="127">
        <v>10000</v>
      </c>
    </row>
    <row r="6" spans="1:11">
      <c r="A6" s="41" t="s">
        <v>3</v>
      </c>
      <c r="B6" s="129">
        <v>2020</v>
      </c>
    </row>
    <row r="7" spans="1:11">
      <c r="A7" s="41"/>
    </row>
    <row r="10" spans="1:11" ht="16.5">
      <c r="B10" s="93" t="s">
        <v>4</v>
      </c>
      <c r="C10" s="93" t="s">
        <v>5</v>
      </c>
      <c r="D10" s="93" t="s">
        <v>6</v>
      </c>
    </row>
    <row r="11" spans="1:11">
      <c r="B11" s="94">
        <v>2020</v>
      </c>
      <c r="C11" s="95">
        <f>B5</f>
        <v>10000</v>
      </c>
      <c r="D11" s="95">
        <f>B5</f>
        <v>10000</v>
      </c>
    </row>
    <row r="12" spans="1:11">
      <c r="A12" s="87" t="s">
        <v>7</v>
      </c>
      <c r="B12" s="44">
        <v>2021</v>
      </c>
      <c r="C12" s="99">
        <f>$B$5*(1+$B$4*(B12-$B$6))</f>
        <v>11000</v>
      </c>
      <c r="D12" s="99">
        <f>$B$5*(1+$B$4)^(B12-$B$6)</f>
        <v>11000</v>
      </c>
    </row>
    <row r="13" spans="1:11">
      <c r="A13" s="88" t="s">
        <v>8</v>
      </c>
      <c r="B13" s="44">
        <v>2022</v>
      </c>
      <c r="C13" s="42">
        <f t="shared" ref="C13:C21" si="0">$B$5*(1+$B$4*(B13-$B$6))</f>
        <v>12000</v>
      </c>
      <c r="D13" s="42">
        <f t="shared" ref="D13:D21" si="1">$B$5*(1+$B$4)^(B13-$B$6)</f>
        <v>12100.000000000002</v>
      </c>
    </row>
    <row r="14" spans="1:11">
      <c r="A14" s="88"/>
      <c r="B14" s="44">
        <v>2023</v>
      </c>
      <c r="C14" s="42">
        <f t="shared" si="0"/>
        <v>13000</v>
      </c>
      <c r="D14" s="42">
        <f t="shared" si="1"/>
        <v>13310.000000000004</v>
      </c>
    </row>
    <row r="15" spans="1:11">
      <c r="A15" s="88"/>
      <c r="B15" s="44">
        <v>2024</v>
      </c>
      <c r="C15" s="42">
        <f t="shared" si="0"/>
        <v>14000</v>
      </c>
      <c r="D15" s="42">
        <f t="shared" si="1"/>
        <v>14641.000000000004</v>
      </c>
    </row>
    <row r="16" spans="1:11">
      <c r="A16" s="88"/>
      <c r="B16" s="44">
        <v>2025</v>
      </c>
      <c r="C16" s="42">
        <f t="shared" si="0"/>
        <v>15000</v>
      </c>
      <c r="D16" s="42">
        <f t="shared" si="1"/>
        <v>16105.100000000006</v>
      </c>
    </row>
    <row r="17" spans="1:12">
      <c r="A17" s="88" t="s">
        <v>9</v>
      </c>
      <c r="B17" s="44">
        <v>2026</v>
      </c>
      <c r="C17" s="42">
        <f t="shared" si="0"/>
        <v>16000</v>
      </c>
      <c r="D17" s="42">
        <f t="shared" si="1"/>
        <v>17715.610000000008</v>
      </c>
    </row>
    <row r="18" spans="1:12">
      <c r="A18" s="88"/>
      <c r="B18" s="44">
        <v>2027</v>
      </c>
      <c r="C18" s="42">
        <f t="shared" si="0"/>
        <v>17000</v>
      </c>
      <c r="D18" s="42">
        <f t="shared" si="1"/>
        <v>19487.171000000013</v>
      </c>
    </row>
    <row r="19" spans="1:12">
      <c r="A19" s="88"/>
      <c r="B19" s="44">
        <v>2028</v>
      </c>
      <c r="C19" s="42">
        <f t="shared" si="0"/>
        <v>18000</v>
      </c>
      <c r="D19" s="42">
        <f t="shared" si="1"/>
        <v>21435.888100000011</v>
      </c>
    </row>
    <row r="20" spans="1:12">
      <c r="A20" s="88"/>
      <c r="B20" s="44">
        <v>2029</v>
      </c>
      <c r="C20" s="42">
        <f t="shared" si="0"/>
        <v>19000</v>
      </c>
      <c r="D20" s="42">
        <f t="shared" si="1"/>
        <v>23579.476910000016</v>
      </c>
    </row>
    <row r="21" spans="1:12">
      <c r="A21" s="89" t="s">
        <v>10</v>
      </c>
      <c r="B21" s="45">
        <v>2030</v>
      </c>
      <c r="C21" s="43">
        <f t="shared" si="0"/>
        <v>20000</v>
      </c>
      <c r="D21" s="43">
        <f t="shared" si="1"/>
        <v>25937.424601000017</v>
      </c>
    </row>
    <row r="25" spans="1:12" ht="18.600000000000001">
      <c r="A25" s="116" t="s">
        <v>11</v>
      </c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</row>
    <row r="28" spans="1:12">
      <c r="A28" s="41" t="s">
        <v>1</v>
      </c>
      <c r="B28" s="128">
        <v>0.1</v>
      </c>
    </row>
    <row r="29" spans="1:12" ht="16.5">
      <c r="A29" s="41" t="s">
        <v>2</v>
      </c>
      <c r="B29" s="127">
        <v>10000</v>
      </c>
    </row>
    <row r="30" spans="1:12">
      <c r="A30" s="41" t="s">
        <v>3</v>
      </c>
      <c r="B30" s="129">
        <v>2030</v>
      </c>
    </row>
    <row r="31" spans="1:12">
      <c r="A31" s="41"/>
    </row>
    <row r="34" spans="1:5" ht="16.5">
      <c r="B34" s="90" t="s">
        <v>4</v>
      </c>
      <c r="C34" s="91" t="s">
        <v>12</v>
      </c>
      <c r="D34" s="92" t="s">
        <v>13</v>
      </c>
      <c r="E34" s="91" t="s">
        <v>14</v>
      </c>
    </row>
    <row r="35" spans="1:5">
      <c r="B35" s="46">
        <f>B30</f>
        <v>2030</v>
      </c>
      <c r="C35" s="96">
        <f>B29</f>
        <v>10000</v>
      </c>
      <c r="D35" s="96">
        <f>$B$29*(1-$B$28*($B$30-B35))</f>
        <v>10000</v>
      </c>
      <c r="E35" s="96">
        <f>$B$29/(1+$B$28)^($B$30-B35)</f>
        <v>10000</v>
      </c>
    </row>
    <row r="36" spans="1:5">
      <c r="A36" s="49" t="s">
        <v>15</v>
      </c>
      <c r="B36" s="44">
        <f>B30-1</f>
        <v>2029</v>
      </c>
      <c r="C36" s="47">
        <f t="shared" ref="C36:C45" si="2">$B$29/(1+$B$28*($B$30-B36))</f>
        <v>9090.9090909090901</v>
      </c>
      <c r="D36" s="42">
        <f t="shared" ref="D36:D45" si="3">$B$29*(1-$B$28*($B$30-B36))</f>
        <v>9000</v>
      </c>
      <c r="E36" s="47">
        <f t="shared" ref="E36:E45" si="4">$B$29/(1+$B$28)^($B$30-B36)</f>
        <v>9090.9090909090901</v>
      </c>
    </row>
    <row r="37" spans="1:5">
      <c r="A37" s="50" t="s">
        <v>16</v>
      </c>
      <c r="B37" s="44">
        <f>B36-1</f>
        <v>2028</v>
      </c>
      <c r="C37" s="47">
        <f t="shared" si="2"/>
        <v>8333.3333333333339</v>
      </c>
      <c r="D37" s="42">
        <f t="shared" si="3"/>
        <v>8000</v>
      </c>
      <c r="E37" s="47">
        <f t="shared" si="4"/>
        <v>8264.4628099173533</v>
      </c>
    </row>
    <row r="38" spans="1:5">
      <c r="A38" s="50"/>
      <c r="B38" s="44">
        <f t="shared" ref="B38:B45" si="5">B37-1</f>
        <v>2027</v>
      </c>
      <c r="C38" s="47">
        <f t="shared" si="2"/>
        <v>7692.3076923076924</v>
      </c>
      <c r="D38" s="42">
        <f t="shared" si="3"/>
        <v>7000</v>
      </c>
      <c r="E38" s="47">
        <f t="shared" si="4"/>
        <v>7513.1480090157756</v>
      </c>
    </row>
    <row r="39" spans="1:5">
      <c r="A39" s="50"/>
      <c r="B39" s="44">
        <f t="shared" si="5"/>
        <v>2026</v>
      </c>
      <c r="C39" s="47">
        <f t="shared" si="2"/>
        <v>7142.8571428571431</v>
      </c>
      <c r="D39" s="42">
        <f t="shared" si="3"/>
        <v>6000</v>
      </c>
      <c r="E39" s="47">
        <f t="shared" si="4"/>
        <v>6830.1345536507051</v>
      </c>
    </row>
    <row r="40" spans="1:5">
      <c r="A40" s="50"/>
      <c r="B40" s="44">
        <f t="shared" si="5"/>
        <v>2025</v>
      </c>
      <c r="C40" s="47">
        <f t="shared" si="2"/>
        <v>6666.666666666667</v>
      </c>
      <c r="D40" s="42">
        <f t="shared" si="3"/>
        <v>5000</v>
      </c>
      <c r="E40" s="47">
        <f t="shared" si="4"/>
        <v>6209.2132305915493</v>
      </c>
    </row>
    <row r="41" spans="1:5">
      <c r="A41" s="50" t="s">
        <v>17</v>
      </c>
      <c r="B41" s="44">
        <f t="shared" si="5"/>
        <v>2024</v>
      </c>
      <c r="C41" s="47">
        <f t="shared" si="2"/>
        <v>6250</v>
      </c>
      <c r="D41" s="42">
        <f t="shared" si="3"/>
        <v>3999.9999999999991</v>
      </c>
      <c r="E41" s="47">
        <f t="shared" si="4"/>
        <v>5644.7393005377717</v>
      </c>
    </row>
    <row r="42" spans="1:5">
      <c r="A42" s="50"/>
      <c r="B42" s="44">
        <f t="shared" si="5"/>
        <v>2023</v>
      </c>
      <c r="C42" s="47">
        <f t="shared" si="2"/>
        <v>5882.3529411764703</v>
      </c>
      <c r="D42" s="42">
        <f t="shared" si="3"/>
        <v>2999.9999999999995</v>
      </c>
      <c r="E42" s="47">
        <f t="shared" si="4"/>
        <v>5131.5811823070644</v>
      </c>
    </row>
    <row r="43" spans="1:5">
      <c r="A43" s="50"/>
      <c r="B43" s="44">
        <f t="shared" si="5"/>
        <v>2022</v>
      </c>
      <c r="C43" s="47">
        <f t="shared" si="2"/>
        <v>5555.5555555555557</v>
      </c>
      <c r="D43" s="42">
        <f t="shared" si="3"/>
        <v>1999.9999999999995</v>
      </c>
      <c r="E43" s="47">
        <f t="shared" si="4"/>
        <v>4665.0738020973313</v>
      </c>
    </row>
    <row r="44" spans="1:5">
      <c r="A44" s="50"/>
      <c r="B44" s="44">
        <f t="shared" si="5"/>
        <v>2021</v>
      </c>
      <c r="C44" s="47">
        <f t="shared" si="2"/>
        <v>5263.1578947368425</v>
      </c>
      <c r="D44" s="42">
        <f t="shared" si="3"/>
        <v>999.99999999999977</v>
      </c>
      <c r="E44" s="47">
        <f t="shared" si="4"/>
        <v>4240.976183724847</v>
      </c>
    </row>
    <row r="45" spans="1:5">
      <c r="A45" s="51" t="s">
        <v>18</v>
      </c>
      <c r="B45" s="45">
        <f t="shared" si="5"/>
        <v>2020</v>
      </c>
      <c r="C45" s="48">
        <f t="shared" si="2"/>
        <v>5000</v>
      </c>
      <c r="D45" s="43">
        <f t="shared" si="3"/>
        <v>0</v>
      </c>
      <c r="E45" s="48">
        <f t="shared" si="4"/>
        <v>3855.4328942953148</v>
      </c>
    </row>
    <row r="47" spans="1:5" ht="32.25" customHeight="1">
      <c r="B47" s="182" t="s">
        <v>19</v>
      </c>
      <c r="C47" s="182"/>
      <c r="D47" s="182"/>
      <c r="E47" s="98">
        <f>E45*(1+B28)^10</f>
        <v>10000</v>
      </c>
    </row>
  </sheetData>
  <mergeCells count="1">
    <mergeCell ref="B47:D4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topLeftCell="A21" workbookViewId="0">
      <selection activeCell="E52" sqref="E52"/>
    </sheetView>
  </sheetViews>
  <sheetFormatPr defaultColWidth="10.85546875" defaultRowHeight="15.6"/>
  <cols>
    <col min="1" max="1" width="7.85546875" style="24" customWidth="1"/>
    <col min="2" max="2" width="11" style="77" customWidth="1"/>
    <col min="3" max="3" width="15.140625" style="24" customWidth="1"/>
    <col min="4" max="4" width="13.42578125" style="24" customWidth="1"/>
    <col min="5" max="5" width="15.42578125" style="25" customWidth="1"/>
    <col min="6" max="6" width="7.28515625" style="24" customWidth="1"/>
    <col min="7" max="7" width="14.7109375" style="24" customWidth="1"/>
    <col min="8" max="8" width="14.42578125" style="25" customWidth="1"/>
    <col min="9" max="16384" width="10.85546875" style="24"/>
  </cols>
  <sheetData>
    <row r="1" spans="1:16" ht="23.45">
      <c r="A1" s="23" t="s">
        <v>20</v>
      </c>
      <c r="B1" s="180"/>
      <c r="C1" s="187" t="s">
        <v>21</v>
      </c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</row>
    <row r="2" spans="1:16" ht="23.45">
      <c r="A2" s="23"/>
      <c r="B2" s="180"/>
      <c r="C2" s="187" t="s">
        <v>22</v>
      </c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</row>
    <row r="3" spans="1:16">
      <c r="A3" s="40"/>
      <c r="B3" s="180"/>
      <c r="C3" s="40"/>
      <c r="D3" s="40"/>
      <c r="E3" s="181"/>
      <c r="F3" s="40"/>
      <c r="G3" s="26"/>
      <c r="H3" s="181"/>
      <c r="I3" s="40"/>
      <c r="J3" s="40"/>
      <c r="K3" s="40"/>
      <c r="L3" s="40"/>
      <c r="M3" s="40"/>
      <c r="N3" s="40"/>
      <c r="O3" s="40"/>
      <c r="P3" s="40"/>
    </row>
    <row r="5" spans="1:16" ht="17.45">
      <c r="A5" s="40"/>
      <c r="B5" s="78" t="s">
        <v>23</v>
      </c>
      <c r="C5" s="40" t="s">
        <v>24</v>
      </c>
      <c r="D5" s="131" t="s">
        <v>25</v>
      </c>
      <c r="E5" s="141">
        <v>250000</v>
      </c>
      <c r="F5" s="40"/>
      <c r="G5" s="40" t="s">
        <v>26</v>
      </c>
      <c r="H5" s="52">
        <f>E5/(1+E6*E7)</f>
        <v>183823.52941176473</v>
      </c>
      <c r="I5" s="53" t="s">
        <v>27</v>
      </c>
      <c r="J5" s="40"/>
      <c r="K5" s="40"/>
      <c r="L5" s="40"/>
      <c r="M5" s="40"/>
      <c r="N5" s="40"/>
      <c r="O5" s="40"/>
      <c r="P5" s="40"/>
    </row>
    <row r="6" spans="1:16">
      <c r="A6" s="40"/>
      <c r="B6" s="79"/>
      <c r="C6" s="40" t="s">
        <v>28</v>
      </c>
      <c r="D6" s="131" t="s">
        <v>29</v>
      </c>
      <c r="E6" s="142">
        <v>4.4999999999999998E-2</v>
      </c>
      <c r="F6" s="40"/>
      <c r="G6" s="40"/>
      <c r="H6" s="54"/>
      <c r="I6" s="55"/>
      <c r="J6" s="40"/>
      <c r="K6" s="40"/>
      <c r="L6" s="40"/>
      <c r="M6" s="40"/>
      <c r="N6" s="40"/>
      <c r="O6" s="40"/>
      <c r="P6" s="40"/>
    </row>
    <row r="7" spans="1:16">
      <c r="A7" s="40"/>
      <c r="B7" s="79"/>
      <c r="C7" s="40" t="s">
        <v>30</v>
      </c>
      <c r="D7" s="131" t="s">
        <v>31</v>
      </c>
      <c r="E7" s="144">
        <v>8</v>
      </c>
      <c r="F7" s="40"/>
      <c r="G7" s="40"/>
      <c r="H7" s="54"/>
      <c r="I7" s="55"/>
      <c r="J7" s="40"/>
      <c r="K7" s="40"/>
      <c r="L7" s="40"/>
      <c r="M7" s="40"/>
      <c r="N7" s="40"/>
      <c r="O7" s="40"/>
      <c r="P7" s="40"/>
    </row>
    <row r="8" spans="1:16">
      <c r="A8" s="40"/>
      <c r="B8" s="79"/>
      <c r="C8" s="40"/>
      <c r="D8" s="131"/>
      <c r="E8" s="27"/>
      <c r="F8" s="40"/>
      <c r="G8" s="40"/>
      <c r="H8" s="54"/>
      <c r="I8" s="55"/>
      <c r="J8" s="40"/>
      <c r="K8" s="40"/>
      <c r="L8" s="40"/>
      <c r="M8" s="40"/>
      <c r="N8" s="40"/>
      <c r="O8" s="40"/>
      <c r="P8" s="40"/>
    </row>
    <row r="9" spans="1:16">
      <c r="A9" s="40"/>
      <c r="B9" s="79"/>
      <c r="C9" s="40"/>
      <c r="D9" s="40"/>
      <c r="E9" s="181"/>
      <c r="F9" s="40"/>
      <c r="G9" s="40"/>
      <c r="H9" s="54"/>
      <c r="I9" s="55"/>
      <c r="J9" s="40"/>
      <c r="K9" s="40"/>
      <c r="L9" s="40"/>
      <c r="M9" s="40"/>
      <c r="N9" s="40"/>
      <c r="O9" s="40"/>
      <c r="P9" s="40"/>
    </row>
    <row r="10" spans="1:16" ht="17.45">
      <c r="A10" s="40"/>
      <c r="B10" s="78" t="s">
        <v>32</v>
      </c>
      <c r="C10" s="40" t="s">
        <v>24</v>
      </c>
      <c r="D10" s="131" t="s">
        <v>33</v>
      </c>
      <c r="E10" s="141">
        <v>2000</v>
      </c>
      <c r="F10" s="40"/>
      <c r="G10" s="40" t="s">
        <v>26</v>
      </c>
      <c r="H10" s="178">
        <f>E11/(E10*E13)</f>
        <v>7.4999999999999997E-3</v>
      </c>
      <c r="I10" s="53" t="s">
        <v>34</v>
      </c>
      <c r="J10" s="40"/>
      <c r="K10" s="40"/>
      <c r="L10" s="40"/>
      <c r="M10" s="40"/>
      <c r="N10" s="40"/>
      <c r="O10" s="40"/>
      <c r="P10" s="40"/>
    </row>
    <row r="11" spans="1:16" ht="17.45">
      <c r="A11" s="40"/>
      <c r="B11" s="79"/>
      <c r="C11" s="40" t="s">
        <v>35</v>
      </c>
      <c r="D11" s="131" t="s">
        <v>36</v>
      </c>
      <c r="E11" s="141">
        <v>150</v>
      </c>
      <c r="F11" s="40"/>
      <c r="G11" s="40"/>
      <c r="H11" s="181"/>
      <c r="I11" s="40"/>
      <c r="J11" s="40"/>
      <c r="K11" s="40"/>
      <c r="L11" s="40"/>
      <c r="M11" s="40"/>
      <c r="N11" s="40"/>
      <c r="O11" s="40"/>
      <c r="P11" s="40"/>
    </row>
    <row r="12" spans="1:16" ht="15.75">
      <c r="A12" s="40"/>
      <c r="B12" s="79"/>
      <c r="C12" s="40" t="s">
        <v>24</v>
      </c>
      <c r="D12" s="131" t="s">
        <v>25</v>
      </c>
      <c r="E12" s="179">
        <f>E10+E11</f>
        <v>2150</v>
      </c>
      <c r="F12" s="40"/>
      <c r="G12" s="40"/>
      <c r="H12" s="56">
        <f>H10*12</f>
        <v>0.09</v>
      </c>
      <c r="I12" s="53" t="s">
        <v>37</v>
      </c>
      <c r="J12" s="40"/>
      <c r="K12" s="40"/>
      <c r="L12" s="40"/>
      <c r="M12" s="40"/>
      <c r="N12" s="40"/>
      <c r="O12" s="40"/>
      <c r="P12" s="40"/>
    </row>
    <row r="13" spans="1:16">
      <c r="A13" s="40"/>
      <c r="B13" s="79"/>
      <c r="C13" s="40" t="s">
        <v>38</v>
      </c>
      <c r="D13" s="131" t="s">
        <v>31</v>
      </c>
      <c r="E13" s="143">
        <v>10</v>
      </c>
      <c r="F13" s="40"/>
      <c r="G13" s="40"/>
      <c r="H13" s="54"/>
      <c r="I13" s="55"/>
      <c r="J13" s="40"/>
      <c r="K13" s="40"/>
      <c r="L13" s="40"/>
      <c r="M13" s="40"/>
      <c r="N13" s="40"/>
      <c r="O13" s="40"/>
      <c r="P13" s="40"/>
    </row>
    <row r="14" spans="1:16">
      <c r="A14" s="40"/>
      <c r="B14" s="79"/>
      <c r="C14" s="40"/>
      <c r="D14" s="131"/>
      <c r="E14" s="29"/>
      <c r="F14" s="40"/>
      <c r="G14" s="40"/>
      <c r="H14" s="54"/>
      <c r="I14" s="55"/>
      <c r="J14" s="40"/>
      <c r="K14" s="40"/>
      <c r="L14" s="40"/>
      <c r="M14" s="40"/>
      <c r="N14" s="40"/>
      <c r="O14" s="40"/>
      <c r="P14" s="40"/>
    </row>
    <row r="15" spans="1:16">
      <c r="A15" s="40"/>
      <c r="B15" s="79"/>
      <c r="C15" s="40"/>
      <c r="D15" s="40"/>
      <c r="E15" s="30"/>
      <c r="F15" s="40"/>
      <c r="G15" s="40"/>
      <c r="H15" s="54"/>
      <c r="I15" s="55"/>
      <c r="J15" s="40"/>
      <c r="K15" s="40"/>
      <c r="L15" s="40"/>
      <c r="M15" s="40"/>
      <c r="N15" s="40"/>
      <c r="O15" s="40"/>
      <c r="P15" s="40"/>
    </row>
    <row r="16" spans="1:16" ht="17.45">
      <c r="A16" s="40"/>
      <c r="B16" s="78" t="s">
        <v>39</v>
      </c>
      <c r="C16" s="40" t="s">
        <v>24</v>
      </c>
      <c r="D16" s="131" t="s">
        <v>25</v>
      </c>
      <c r="E16" s="141">
        <v>90000</v>
      </c>
      <c r="F16" s="40"/>
      <c r="G16" s="40" t="s">
        <v>40</v>
      </c>
      <c r="H16" s="52">
        <f>E16/(1+E17*E18)</f>
        <v>81447.963800904981</v>
      </c>
      <c r="I16" s="53" t="s">
        <v>27</v>
      </c>
      <c r="J16" s="40"/>
      <c r="K16" s="40"/>
      <c r="L16" s="40"/>
      <c r="M16" s="40"/>
      <c r="N16" s="40"/>
      <c r="O16" s="40"/>
      <c r="P16" s="40"/>
    </row>
    <row r="17" spans="2:9">
      <c r="B17" s="79"/>
      <c r="C17" s="40" t="s">
        <v>28</v>
      </c>
      <c r="D17" s="131" t="s">
        <v>29</v>
      </c>
      <c r="E17" s="142">
        <v>3.5000000000000003E-2</v>
      </c>
      <c r="F17" s="40"/>
      <c r="G17" s="40"/>
      <c r="H17" s="54"/>
      <c r="I17" s="55"/>
    </row>
    <row r="18" spans="2:9" ht="17.45">
      <c r="B18" s="79"/>
      <c r="C18" s="40" t="s">
        <v>30</v>
      </c>
      <c r="D18" s="131" t="s">
        <v>31</v>
      </c>
      <c r="E18" s="144">
        <v>3</v>
      </c>
      <c r="F18" s="40"/>
      <c r="G18" s="40" t="s">
        <v>41</v>
      </c>
      <c r="H18" s="52">
        <f>E16/(1+E17)^E18</f>
        <v>81174.843510122009</v>
      </c>
      <c r="I18" s="53" t="s">
        <v>42</v>
      </c>
    </row>
    <row r="19" spans="2:9">
      <c r="B19" s="79"/>
      <c r="C19" s="40"/>
      <c r="D19" s="131"/>
      <c r="E19" s="28"/>
      <c r="F19" s="40"/>
      <c r="G19" s="40"/>
      <c r="H19" s="54"/>
      <c r="I19" s="55"/>
    </row>
    <row r="20" spans="2:9">
      <c r="B20" s="80"/>
      <c r="C20" s="183" t="s">
        <v>43</v>
      </c>
      <c r="D20" s="184"/>
      <c r="E20" s="32"/>
      <c r="F20" s="31"/>
      <c r="G20" s="185" t="s">
        <v>44</v>
      </c>
      <c r="H20" s="186"/>
      <c r="I20" s="40"/>
    </row>
    <row r="21" spans="2:9">
      <c r="B21" s="80"/>
      <c r="C21" s="33" t="s">
        <v>45</v>
      </c>
      <c r="D21" s="33" t="s">
        <v>46</v>
      </c>
      <c r="E21" s="34"/>
      <c r="F21" s="35"/>
      <c r="G21" s="33" t="s">
        <v>45</v>
      </c>
      <c r="H21" s="33" t="s">
        <v>46</v>
      </c>
      <c r="I21" s="40"/>
    </row>
    <row r="22" spans="2:9">
      <c r="B22" s="81" t="s">
        <v>47</v>
      </c>
      <c r="C22" s="36">
        <f>E16/(1+E17*E18)</f>
        <v>81447.963800904981</v>
      </c>
      <c r="D22" s="37"/>
      <c r="E22" s="32"/>
      <c r="F22" s="35" t="s">
        <v>47</v>
      </c>
      <c r="G22" s="36">
        <f>E16/(1+E17)^E18</f>
        <v>81174.843510122009</v>
      </c>
      <c r="H22" s="37"/>
      <c r="I22" s="40"/>
    </row>
    <row r="23" spans="2:9">
      <c r="B23" s="81" t="s">
        <v>48</v>
      </c>
      <c r="C23" s="36">
        <f>C22+D23</f>
        <v>84298.642533936654</v>
      </c>
      <c r="D23" s="36">
        <f>$C$22*$E$17</f>
        <v>2850.6787330316747</v>
      </c>
      <c r="E23" s="32"/>
      <c r="F23" s="35" t="s">
        <v>48</v>
      </c>
      <c r="G23" s="36">
        <f>G22+H23</f>
        <v>84015.963032976273</v>
      </c>
      <c r="H23" s="36">
        <f>$G$22*$E$17</f>
        <v>2841.1195228542706</v>
      </c>
      <c r="I23" s="40"/>
    </row>
    <row r="24" spans="2:9">
      <c r="B24" s="81" t="s">
        <v>49</v>
      </c>
      <c r="C24" s="36">
        <f>C23+D24</f>
        <v>87149.321266968327</v>
      </c>
      <c r="D24" s="36">
        <f t="shared" ref="D24:D25" si="0">$C$22*$E$17</f>
        <v>2850.6787330316747</v>
      </c>
      <c r="E24" s="32"/>
      <c r="F24" s="35" t="s">
        <v>49</v>
      </c>
      <c r="G24" s="36">
        <f t="shared" ref="G24:G25" si="1">G23+H24</f>
        <v>86857.082555830537</v>
      </c>
      <c r="H24" s="36">
        <f t="shared" ref="H24:H25" si="2">$G$22*$E$17</f>
        <v>2841.1195228542706</v>
      </c>
      <c r="I24" s="40"/>
    </row>
    <row r="25" spans="2:9">
      <c r="B25" s="81" t="s">
        <v>50</v>
      </c>
      <c r="C25" s="36">
        <f>C24+D25</f>
        <v>90000</v>
      </c>
      <c r="D25" s="36">
        <f t="shared" si="0"/>
        <v>2850.6787330316747</v>
      </c>
      <c r="E25" s="32"/>
      <c r="F25" s="35" t="s">
        <v>50</v>
      </c>
      <c r="G25" s="36">
        <f t="shared" si="1"/>
        <v>89698.202078684801</v>
      </c>
      <c r="H25" s="36">
        <f t="shared" si="2"/>
        <v>2841.1195228542706</v>
      </c>
      <c r="I25" s="40"/>
    </row>
    <row r="26" spans="2:9" ht="17.45">
      <c r="B26" s="79"/>
      <c r="C26" s="39" t="s">
        <v>51</v>
      </c>
      <c r="D26" s="36">
        <f>D23+D24+D25</f>
        <v>8552.0361990950241</v>
      </c>
      <c r="E26" s="27"/>
      <c r="F26" s="40"/>
      <c r="G26" s="39" t="s">
        <v>51</v>
      </c>
      <c r="H26" s="36">
        <f>H23+H25+H24</f>
        <v>8523.3585685628113</v>
      </c>
      <c r="I26" s="40"/>
    </row>
    <row r="27" spans="2:9">
      <c r="B27" s="79"/>
      <c r="C27" s="40"/>
      <c r="D27" s="131"/>
      <c r="E27" s="27"/>
      <c r="F27" s="40"/>
      <c r="G27" s="40"/>
      <c r="H27" s="181"/>
      <c r="I27" s="40"/>
    </row>
    <row r="29" spans="2:9" ht="17.45">
      <c r="B29" s="78" t="s">
        <v>52</v>
      </c>
      <c r="C29" s="40" t="s">
        <v>24</v>
      </c>
      <c r="D29" s="131" t="s">
        <v>33</v>
      </c>
      <c r="E29" s="141">
        <v>43000</v>
      </c>
      <c r="F29" s="40"/>
      <c r="G29" s="40"/>
      <c r="H29" s="40"/>
      <c r="I29" s="40"/>
    </row>
    <row r="30" spans="2:9">
      <c r="B30" s="79"/>
      <c r="C30" s="40" t="s">
        <v>28</v>
      </c>
      <c r="D30" s="131" t="s">
        <v>29</v>
      </c>
      <c r="E30" s="142">
        <v>0.04</v>
      </c>
      <c r="F30" s="40"/>
      <c r="G30" s="40"/>
      <c r="H30" s="54"/>
      <c r="I30" s="55"/>
    </row>
    <row r="31" spans="2:9">
      <c r="B31" s="79"/>
      <c r="C31" s="40" t="s">
        <v>30</v>
      </c>
      <c r="D31" s="131" t="s">
        <v>31</v>
      </c>
      <c r="E31" s="146">
        <v>53</v>
      </c>
      <c r="F31" s="40"/>
      <c r="G31" s="40" t="s">
        <v>26</v>
      </c>
      <c r="H31" s="52">
        <f>E29*E30*(E31/365)</f>
        <v>249.75342465753423</v>
      </c>
      <c r="I31" s="53" t="s">
        <v>53</v>
      </c>
    </row>
    <row r="32" spans="2:9">
      <c r="B32" s="79"/>
      <c r="C32" s="40"/>
      <c r="D32" s="131"/>
      <c r="E32" s="38"/>
      <c r="F32" s="40"/>
      <c r="G32" s="40"/>
      <c r="H32" s="54"/>
      <c r="I32" s="55"/>
    </row>
    <row r="33" spans="2:9">
      <c r="B33" s="79"/>
      <c r="C33" s="40" t="s">
        <v>30</v>
      </c>
      <c r="D33" s="131" t="s">
        <v>31</v>
      </c>
      <c r="E33" s="143">
        <v>6</v>
      </c>
      <c r="F33" s="40"/>
      <c r="G33" s="40" t="s">
        <v>26</v>
      </c>
      <c r="H33" s="52">
        <f>E29*E30*(E33/12)</f>
        <v>860</v>
      </c>
      <c r="I33" s="53" t="s">
        <v>54</v>
      </c>
    </row>
    <row r="34" spans="2:9">
      <c r="B34" s="79"/>
      <c r="C34" s="40"/>
      <c r="D34" s="131"/>
      <c r="E34" s="29"/>
      <c r="F34" s="40"/>
      <c r="G34" s="40"/>
      <c r="H34" s="54"/>
      <c r="I34" s="55"/>
    </row>
    <row r="35" spans="2:9">
      <c r="B35" s="180"/>
      <c r="C35" s="40"/>
      <c r="D35" s="40"/>
      <c r="E35" s="181"/>
      <c r="F35" s="40"/>
      <c r="G35" s="40"/>
      <c r="H35" s="54"/>
      <c r="I35" s="55"/>
    </row>
    <row r="36" spans="2:9" ht="17.45">
      <c r="B36" s="78" t="s">
        <v>55</v>
      </c>
      <c r="C36" s="40" t="s">
        <v>24</v>
      </c>
      <c r="D36" s="131" t="s">
        <v>33</v>
      </c>
      <c r="E36" s="141">
        <v>1</v>
      </c>
      <c r="F36" s="40"/>
      <c r="G36" s="40" t="s">
        <v>26</v>
      </c>
      <c r="H36" s="57">
        <f>((E38/E36)-1)/E37</f>
        <v>33.333333333333336</v>
      </c>
      <c r="I36" s="53" t="s">
        <v>56</v>
      </c>
    </row>
    <row r="37" spans="2:9">
      <c r="B37" s="79"/>
      <c r="C37" s="40" t="s">
        <v>28</v>
      </c>
      <c r="D37" s="131" t="s">
        <v>29</v>
      </c>
      <c r="E37" s="145">
        <v>0.06</v>
      </c>
      <c r="F37" s="40"/>
      <c r="G37" s="40"/>
      <c r="H37" s="54"/>
      <c r="I37" s="55"/>
    </row>
    <row r="38" spans="2:9" ht="17.45">
      <c r="B38" s="79"/>
      <c r="C38" s="40" t="s">
        <v>24</v>
      </c>
      <c r="D38" s="131" t="s">
        <v>25</v>
      </c>
      <c r="E38" s="141">
        <v>3</v>
      </c>
      <c r="F38" s="40"/>
      <c r="G38" s="40" t="s">
        <v>26</v>
      </c>
      <c r="H38" s="57">
        <f>LOG(E38/E36)/LOG(1+E37)</f>
        <v>18.85417667910728</v>
      </c>
      <c r="I38" s="53" t="s">
        <v>57</v>
      </c>
    </row>
    <row r="39" spans="2:9">
      <c r="B39" s="79"/>
      <c r="C39" s="40"/>
      <c r="D39" s="131"/>
      <c r="E39" s="29"/>
      <c r="F39" s="40"/>
      <c r="G39" s="40"/>
      <c r="H39" s="54"/>
      <c r="I39" s="55"/>
    </row>
    <row r="40" spans="2:9">
      <c r="B40" s="180"/>
      <c r="C40" s="40"/>
      <c r="D40" s="40"/>
      <c r="E40" s="181"/>
      <c r="F40" s="40"/>
      <c r="G40" s="40"/>
      <c r="H40" s="54"/>
      <c r="I40" s="55"/>
    </row>
    <row r="41" spans="2:9" ht="17.45">
      <c r="B41" s="78" t="s">
        <v>58</v>
      </c>
      <c r="C41" s="40" t="s">
        <v>24</v>
      </c>
      <c r="D41" s="131" t="s">
        <v>25</v>
      </c>
      <c r="E41" s="141">
        <v>300000</v>
      </c>
      <c r="F41" s="40"/>
      <c r="G41" s="40" t="s">
        <v>26</v>
      </c>
      <c r="H41" s="52">
        <f>E41/(1+E42)^E43</f>
        <v>248354.727540894</v>
      </c>
      <c r="I41" s="53" t="s">
        <v>59</v>
      </c>
    </row>
    <row r="42" spans="2:9">
      <c r="B42" s="79"/>
      <c r="C42" s="40" t="s">
        <v>28</v>
      </c>
      <c r="D42" s="131" t="s">
        <v>29</v>
      </c>
      <c r="E42" s="142">
        <v>6.5000000000000002E-2</v>
      </c>
      <c r="F42" s="40"/>
      <c r="G42" s="40"/>
      <c r="H42" s="54"/>
      <c r="I42" s="55"/>
    </row>
    <row r="43" spans="2:9">
      <c r="B43" s="79"/>
      <c r="C43" s="40" t="s">
        <v>30</v>
      </c>
      <c r="D43" s="131" t="s">
        <v>31</v>
      </c>
      <c r="E43" s="144">
        <v>3</v>
      </c>
      <c r="F43" s="40"/>
      <c r="G43" s="40"/>
      <c r="H43" s="54"/>
      <c r="I43" s="55"/>
    </row>
    <row r="44" spans="2:9">
      <c r="B44" s="180"/>
      <c r="C44" s="40"/>
      <c r="D44" s="40"/>
      <c r="E44" s="181"/>
      <c r="F44" s="40"/>
      <c r="G44" s="40"/>
      <c r="H44" s="54"/>
      <c r="I44" s="55"/>
    </row>
    <row r="45" spans="2:9">
      <c r="B45" s="79"/>
      <c r="C45" s="40"/>
      <c r="D45" s="40"/>
      <c r="E45" s="40"/>
      <c r="F45" s="40"/>
      <c r="G45" s="40"/>
      <c r="H45" s="55"/>
      <c r="I45" s="55"/>
    </row>
    <row r="46" spans="2:9" ht="17.45">
      <c r="B46" s="78" t="s">
        <v>60</v>
      </c>
      <c r="C46" s="40" t="s">
        <v>24</v>
      </c>
      <c r="D46" s="131" t="s">
        <v>33</v>
      </c>
      <c r="E46" s="141">
        <v>56000</v>
      </c>
      <c r="F46" s="40"/>
      <c r="G46" s="40" t="s">
        <v>26</v>
      </c>
      <c r="H46" s="52">
        <f>E46*(1+E47*(E48/12))</f>
        <v>58916.666666666664</v>
      </c>
      <c r="I46" s="53" t="s">
        <v>61</v>
      </c>
    </row>
    <row r="47" spans="2:9" ht="17.45">
      <c r="B47" s="79"/>
      <c r="C47" s="40" t="s">
        <v>28</v>
      </c>
      <c r="D47" s="131" t="s">
        <v>29</v>
      </c>
      <c r="E47" s="142">
        <v>2.5000000000000001E-2</v>
      </c>
      <c r="F47" s="40"/>
      <c r="G47" s="40"/>
      <c r="H47" s="52">
        <f>E46*E47*E48/12</f>
        <v>2916.6666666666665</v>
      </c>
      <c r="I47" s="53" t="s">
        <v>62</v>
      </c>
    </row>
    <row r="48" spans="2:9" ht="17.45">
      <c r="B48" s="180"/>
      <c r="C48" s="40" t="s">
        <v>30</v>
      </c>
      <c r="D48" s="131" t="s">
        <v>31</v>
      </c>
      <c r="E48" s="143">
        <v>25</v>
      </c>
      <c r="F48" s="40"/>
      <c r="G48" s="40"/>
      <c r="H48" s="52">
        <f>H46-E46</f>
        <v>2916.6666666666642</v>
      </c>
      <c r="I48" s="53" t="s">
        <v>63</v>
      </c>
    </row>
    <row r="49" spans="3:8" ht="15.95" thickBot="1">
      <c r="C49" s="40"/>
      <c r="D49" s="40"/>
      <c r="E49" s="181"/>
      <c r="F49" s="40"/>
      <c r="G49" s="40"/>
      <c r="H49" s="181"/>
    </row>
    <row r="50" spans="3:8" ht="18" thickBot="1">
      <c r="C50" s="40" t="s">
        <v>64</v>
      </c>
      <c r="D50" s="131" t="s">
        <v>65</v>
      </c>
      <c r="E50" s="134">
        <f>E47/12</f>
        <v>2.0833333333333333E-3</v>
      </c>
      <c r="F50" s="40"/>
      <c r="G50" s="132" t="s">
        <v>66</v>
      </c>
      <c r="H50" s="133">
        <f>E46*(1+E50*E48)</f>
        <v>58916.666666666664</v>
      </c>
    </row>
  </sheetData>
  <mergeCells count="4">
    <mergeCell ref="C20:D20"/>
    <mergeCell ref="G20:H20"/>
    <mergeCell ref="C1:P1"/>
    <mergeCell ref="C2:P2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6"/>
  <sheetViews>
    <sheetView workbookViewId="0">
      <selection activeCell="H25" sqref="H25"/>
    </sheetView>
  </sheetViews>
  <sheetFormatPr defaultColWidth="11.42578125" defaultRowHeight="14.45"/>
  <cols>
    <col min="1" max="1" width="7.5703125" customWidth="1"/>
    <col min="2" max="2" width="10.5703125" style="41" customWidth="1"/>
    <col min="3" max="3" width="15.140625" customWidth="1"/>
    <col min="4" max="4" width="9" customWidth="1"/>
    <col min="5" max="5" width="15.42578125" style="2" customWidth="1"/>
    <col min="6" max="6" width="3.85546875" customWidth="1"/>
    <col min="8" max="8" width="18" style="59" customWidth="1"/>
    <col min="9" max="9" width="11.42578125" style="21"/>
  </cols>
  <sheetData>
    <row r="1" spans="1:9" ht="23.45">
      <c r="A1" s="10" t="s">
        <v>67</v>
      </c>
      <c r="G1" s="8"/>
    </row>
    <row r="2" spans="1:9" ht="18.600000000000001">
      <c r="G2" s="8"/>
    </row>
    <row r="3" spans="1:9" ht="18.600000000000001">
      <c r="G3" s="8"/>
    </row>
    <row r="4" spans="1:9" s="13" customFormat="1" ht="18">
      <c r="A4" s="102"/>
      <c r="B4" s="78" t="s">
        <v>68</v>
      </c>
      <c r="C4" s="102" t="s">
        <v>24</v>
      </c>
      <c r="D4" s="162" t="s">
        <v>69</v>
      </c>
      <c r="E4" s="135">
        <v>4825.95</v>
      </c>
      <c r="F4" s="102"/>
      <c r="G4" s="102" t="s">
        <v>26</v>
      </c>
      <c r="H4" s="62">
        <f>(E5/E4-1)/(E6)</f>
        <v>2.9561834338571628E-4</v>
      </c>
      <c r="I4" s="16" t="s">
        <v>70</v>
      </c>
    </row>
    <row r="5" spans="1:9" s="13" customFormat="1" ht="18">
      <c r="A5" s="102"/>
      <c r="B5" s="75"/>
      <c r="C5" s="102" t="s">
        <v>24</v>
      </c>
      <c r="D5" s="162" t="s">
        <v>71</v>
      </c>
      <c r="E5" s="136">
        <v>5000</v>
      </c>
      <c r="F5" s="102"/>
      <c r="G5" s="102"/>
      <c r="H5" s="62">
        <f>H4*365</f>
        <v>0.10790069533578645</v>
      </c>
      <c r="I5" s="16" t="s">
        <v>37</v>
      </c>
    </row>
    <row r="6" spans="1:9" s="13" customFormat="1" ht="15.6">
      <c r="A6" s="102"/>
      <c r="B6" s="75"/>
      <c r="C6" s="102" t="s">
        <v>30</v>
      </c>
      <c r="D6" s="162" t="s">
        <v>31</v>
      </c>
      <c r="E6" s="137">
        <v>122</v>
      </c>
      <c r="F6" s="102"/>
      <c r="G6" s="102"/>
      <c r="H6" s="18"/>
      <c r="I6" s="17"/>
    </row>
    <row r="7" spans="1:9" s="13" customFormat="1" ht="15.6">
      <c r="A7" s="102"/>
      <c r="B7" s="75"/>
      <c r="C7" s="102"/>
      <c r="D7" s="162"/>
      <c r="E7" s="6"/>
      <c r="F7" s="102"/>
      <c r="G7" s="102"/>
      <c r="H7" s="18"/>
      <c r="I7" s="17"/>
    </row>
    <row r="8" spans="1:9" s="13" customFormat="1" ht="15.6">
      <c r="A8" s="102"/>
      <c r="B8" s="75"/>
      <c r="C8" s="102"/>
      <c r="D8" s="102"/>
      <c r="E8" s="166"/>
      <c r="F8" s="102"/>
      <c r="G8" s="102"/>
      <c r="H8" s="18"/>
      <c r="I8" s="17"/>
    </row>
    <row r="9" spans="1:9" s="13" customFormat="1" ht="18">
      <c r="A9" s="102"/>
      <c r="B9" s="78" t="s">
        <v>72</v>
      </c>
      <c r="C9" s="102" t="s">
        <v>24</v>
      </c>
      <c r="D9" s="162" t="s">
        <v>69</v>
      </c>
      <c r="E9" s="135">
        <v>9696.7000000000007</v>
      </c>
      <c r="F9" s="102"/>
      <c r="G9" s="102" t="s">
        <v>26</v>
      </c>
      <c r="H9" s="60">
        <f>(E10/E9-1)/(E11/365)</f>
        <v>228.33438179999365</v>
      </c>
      <c r="I9" s="16" t="s">
        <v>73</v>
      </c>
    </row>
    <row r="10" spans="1:9" s="13" customFormat="1" ht="18">
      <c r="A10" s="102"/>
      <c r="B10" s="75"/>
      <c r="C10" s="102" t="s">
        <v>24</v>
      </c>
      <c r="D10" s="162" t="s">
        <v>71</v>
      </c>
      <c r="E10" s="136">
        <v>10000</v>
      </c>
      <c r="F10" s="102"/>
      <c r="G10" s="102"/>
      <c r="H10" s="18"/>
      <c r="I10" s="17"/>
    </row>
    <row r="11" spans="1:9" s="13" customFormat="1" ht="15.6">
      <c r="A11" s="102"/>
      <c r="B11" s="75"/>
      <c r="C11" s="102" t="s">
        <v>28</v>
      </c>
      <c r="D11" s="162" t="s">
        <v>29</v>
      </c>
      <c r="E11" s="138">
        <v>0.05</v>
      </c>
      <c r="F11" s="102"/>
      <c r="G11" s="102"/>
      <c r="H11" s="18"/>
      <c r="I11" s="17"/>
    </row>
    <row r="12" spans="1:9" s="13" customFormat="1" ht="15.6">
      <c r="A12" s="102"/>
      <c r="B12" s="75"/>
      <c r="C12" s="102"/>
      <c r="D12" s="162"/>
      <c r="E12" s="5"/>
      <c r="F12" s="102"/>
      <c r="G12" s="102"/>
      <c r="H12" s="18"/>
      <c r="I12" s="17"/>
    </row>
    <row r="13" spans="1:9" s="13" customFormat="1" ht="15.6">
      <c r="A13" s="102"/>
      <c r="B13" s="75"/>
      <c r="C13" s="102"/>
      <c r="D13" s="162"/>
      <c r="E13" s="4"/>
      <c r="F13" s="102"/>
      <c r="G13" s="102"/>
      <c r="H13" s="18"/>
      <c r="I13" s="17"/>
    </row>
    <row r="14" spans="1:9" s="13" customFormat="1" ht="18">
      <c r="A14" s="102"/>
      <c r="B14" s="78" t="s">
        <v>74</v>
      </c>
      <c r="C14" s="102" t="s">
        <v>35</v>
      </c>
      <c r="D14" s="162" t="s">
        <v>75</v>
      </c>
      <c r="E14" s="136">
        <v>150750</v>
      </c>
      <c r="F14" s="102"/>
      <c r="G14" s="102" t="s">
        <v>26</v>
      </c>
      <c r="H14" s="61">
        <f>E14*365/(E15*E16)</f>
        <v>26201785.714285713</v>
      </c>
      <c r="I14" s="16" t="s">
        <v>27</v>
      </c>
    </row>
    <row r="15" spans="1:9" s="13" customFormat="1" ht="15.6">
      <c r="A15" s="102"/>
      <c r="B15" s="75"/>
      <c r="C15" s="102" t="s">
        <v>28</v>
      </c>
      <c r="D15" s="162" t="s">
        <v>29</v>
      </c>
      <c r="E15" s="138">
        <v>7.0000000000000007E-2</v>
      </c>
      <c r="F15" s="102"/>
      <c r="G15" s="102"/>
      <c r="H15" s="18"/>
      <c r="I15" s="17"/>
    </row>
    <row r="16" spans="1:9" s="13" customFormat="1" ht="15.6">
      <c r="A16" s="102"/>
      <c r="B16" s="75"/>
      <c r="C16" s="102" t="s">
        <v>30</v>
      </c>
      <c r="D16" s="162" t="s">
        <v>31</v>
      </c>
      <c r="E16" s="137">
        <v>30</v>
      </c>
      <c r="F16" s="102"/>
      <c r="G16" s="102"/>
      <c r="H16" s="18"/>
      <c r="I16" s="17"/>
    </row>
    <row r="17" spans="2:13" s="13" customFormat="1" ht="15.6">
      <c r="B17" s="75"/>
      <c r="C17" s="102"/>
      <c r="D17" s="102"/>
      <c r="E17" s="102"/>
      <c r="F17" s="102"/>
      <c r="G17" s="102"/>
      <c r="H17" s="18"/>
      <c r="I17" s="17"/>
      <c r="J17" s="102"/>
      <c r="K17" s="102"/>
      <c r="L17" s="102"/>
      <c r="M17" s="102"/>
    </row>
    <row r="18" spans="2:13" s="13" customFormat="1" ht="15.6">
      <c r="B18" s="75"/>
      <c r="C18" s="102"/>
      <c r="D18" s="162"/>
      <c r="E18" s="5"/>
      <c r="F18" s="102"/>
      <c r="G18" s="102"/>
      <c r="H18" s="18"/>
      <c r="I18" s="17"/>
      <c r="J18" s="102"/>
      <c r="K18" s="102"/>
      <c r="L18" s="102"/>
      <c r="M18" s="102"/>
    </row>
    <row r="19" spans="2:13" s="13" customFormat="1" ht="18">
      <c r="B19" s="78" t="s">
        <v>76</v>
      </c>
      <c r="C19" s="102" t="s">
        <v>24</v>
      </c>
      <c r="D19" s="162" t="s">
        <v>71</v>
      </c>
      <c r="E19" s="136">
        <v>15400</v>
      </c>
      <c r="F19" s="102"/>
      <c r="G19" s="102" t="s">
        <v>26</v>
      </c>
      <c r="H19" s="61">
        <f>E19/(1+E20*E21/12)</f>
        <v>15135.135135135133</v>
      </c>
      <c r="I19" s="16" t="s">
        <v>27</v>
      </c>
      <c r="J19" s="102"/>
      <c r="K19" s="102"/>
      <c r="L19" s="102"/>
      <c r="M19" s="102"/>
    </row>
    <row r="20" spans="2:13" s="13" customFormat="1" ht="15.6">
      <c r="B20" s="75"/>
      <c r="C20" s="102" t="s">
        <v>28</v>
      </c>
      <c r="D20" s="162" t="s">
        <v>29</v>
      </c>
      <c r="E20" s="138">
        <v>0.03</v>
      </c>
      <c r="F20" s="102"/>
      <c r="G20" s="102"/>
      <c r="H20" s="18"/>
      <c r="I20" s="17"/>
      <c r="J20" s="102"/>
      <c r="K20" s="102"/>
      <c r="L20" s="102"/>
      <c r="M20" s="102"/>
    </row>
    <row r="21" spans="2:13" s="13" customFormat="1" ht="15.6">
      <c r="B21" s="75"/>
      <c r="C21" s="102" t="s">
        <v>30</v>
      </c>
      <c r="D21" s="162" t="s">
        <v>31</v>
      </c>
      <c r="E21" s="58">
        <v>7</v>
      </c>
      <c r="F21" s="102"/>
      <c r="G21" s="102"/>
      <c r="H21" s="18"/>
      <c r="I21" s="17"/>
      <c r="J21" s="102"/>
      <c r="K21" s="102"/>
      <c r="L21" s="102"/>
      <c r="M21" s="102"/>
    </row>
    <row r="22" spans="2:13" s="13" customFormat="1" ht="15.6">
      <c r="B22" s="75"/>
      <c r="C22" s="102"/>
      <c r="D22" s="162"/>
      <c r="E22" s="4"/>
      <c r="F22" s="102"/>
      <c r="G22" s="102"/>
      <c r="H22" s="18"/>
      <c r="I22" s="17"/>
      <c r="J22" s="102"/>
      <c r="K22" s="102"/>
      <c r="L22" s="102"/>
      <c r="M22" s="102"/>
    </row>
    <row r="24" spans="2:13" ht="18">
      <c r="B24" s="78" t="s">
        <v>77</v>
      </c>
      <c r="C24" s="102" t="s">
        <v>24</v>
      </c>
      <c r="D24" s="162" t="s">
        <v>71</v>
      </c>
      <c r="E24" s="136">
        <v>22000</v>
      </c>
      <c r="F24" s="102"/>
      <c r="G24" s="102" t="s">
        <v>26</v>
      </c>
      <c r="H24" s="61">
        <f>E24/(1+E25*E26)</f>
        <v>18448.637316561846</v>
      </c>
      <c r="I24" s="16" t="s">
        <v>27</v>
      </c>
      <c r="J24" s="102"/>
      <c r="K24" s="102"/>
      <c r="L24" s="102"/>
      <c r="M24" s="102"/>
    </row>
    <row r="25" spans="2:13" ht="15.6">
      <c r="B25" s="75"/>
      <c r="C25" s="102" t="s">
        <v>28</v>
      </c>
      <c r="D25" s="162" t="s">
        <v>29</v>
      </c>
      <c r="E25" s="139">
        <v>3.5000000000000003E-2</v>
      </c>
      <c r="F25" s="102"/>
      <c r="G25" s="102"/>
      <c r="H25" s="18"/>
      <c r="I25" s="17"/>
      <c r="J25" s="102"/>
      <c r="K25" s="102"/>
      <c r="L25" s="102"/>
      <c r="M25" s="102"/>
    </row>
    <row r="26" spans="2:13" ht="15.6">
      <c r="B26" s="75"/>
      <c r="C26" s="102" t="s">
        <v>30</v>
      </c>
      <c r="D26" s="162" t="s">
        <v>31</v>
      </c>
      <c r="E26" s="140">
        <v>5.5</v>
      </c>
      <c r="F26" s="102"/>
      <c r="G26" s="102"/>
      <c r="H26" s="18"/>
      <c r="I26" s="17"/>
      <c r="J26" s="102"/>
      <c r="K26" s="102"/>
      <c r="L26" s="102"/>
      <c r="M26" s="10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82"/>
  <sheetViews>
    <sheetView tabSelected="1" topLeftCell="A43" workbookViewId="0">
      <selection activeCell="H68" sqref="H68"/>
    </sheetView>
  </sheetViews>
  <sheetFormatPr defaultColWidth="11.42578125" defaultRowHeight="15.6"/>
  <cols>
    <col min="1" max="1" width="7.5703125" customWidth="1"/>
    <col min="2" max="2" width="9.85546875" style="82" customWidth="1"/>
    <col min="3" max="3" width="15.140625" customWidth="1"/>
    <col min="4" max="4" width="9" customWidth="1"/>
    <col min="5" max="5" width="15.42578125" style="2" customWidth="1"/>
    <col min="6" max="6" width="3.85546875" customWidth="1"/>
    <col min="8" max="8" width="15.7109375" style="59" customWidth="1"/>
    <col min="9" max="9" width="11.42578125" style="21"/>
  </cols>
  <sheetData>
    <row r="1" spans="1:19" ht="23.45">
      <c r="A1" s="10" t="s">
        <v>78</v>
      </c>
      <c r="G1" s="8"/>
    </row>
    <row r="2" spans="1:19" ht="18.600000000000001">
      <c r="A2" s="63" t="s">
        <v>79</v>
      </c>
      <c r="G2" s="8"/>
    </row>
    <row r="3" spans="1:19">
      <c r="A3" s="63"/>
    </row>
    <row r="4" spans="1:19" s="13" customFormat="1" ht="18.600000000000001" thickBot="1">
      <c r="A4" s="64">
        <v>0.5</v>
      </c>
      <c r="B4" s="78" t="s">
        <v>80</v>
      </c>
      <c r="C4" s="102" t="s">
        <v>24</v>
      </c>
      <c r="D4" s="162" t="s">
        <v>71</v>
      </c>
      <c r="E4" s="136">
        <v>7000</v>
      </c>
      <c r="F4" s="102"/>
      <c r="G4" s="102" t="s">
        <v>26</v>
      </c>
      <c r="H4" s="152">
        <f>(E7/E4-1)/-E5</f>
        <v>0.3116883116883114</v>
      </c>
      <c r="I4" s="16" t="s">
        <v>81</v>
      </c>
      <c r="J4" s="102"/>
      <c r="K4" s="102"/>
      <c r="L4" s="102"/>
      <c r="M4" s="102"/>
      <c r="N4" s="102"/>
      <c r="O4" s="102"/>
      <c r="P4" s="102"/>
      <c r="Q4" s="102"/>
      <c r="R4" s="102"/>
      <c r="S4" s="102"/>
    </row>
    <row r="5" spans="1:19" s="13" customFormat="1" ht="15.95" thickBot="1">
      <c r="A5" s="64"/>
      <c r="B5" s="75"/>
      <c r="C5" s="102" t="s">
        <v>28</v>
      </c>
      <c r="D5" s="162" t="s">
        <v>29</v>
      </c>
      <c r="E5" s="139">
        <v>5.5E-2</v>
      </c>
      <c r="F5" s="102"/>
      <c r="G5" s="102"/>
      <c r="H5" s="151">
        <f>H4*365</f>
        <v>113.76623376623367</v>
      </c>
      <c r="I5" s="17" t="s">
        <v>82</v>
      </c>
      <c r="J5" s="102"/>
      <c r="K5" s="102"/>
      <c r="L5" s="102"/>
      <c r="M5" s="102"/>
      <c r="N5" s="102"/>
      <c r="O5" s="102"/>
      <c r="P5" s="102"/>
      <c r="Q5" s="102"/>
      <c r="R5" s="102"/>
      <c r="S5" s="102"/>
    </row>
    <row r="6" spans="1:19" s="13" customFormat="1" ht="18.600000000000001" thickBot="1">
      <c r="A6" s="64"/>
      <c r="B6" s="75"/>
      <c r="C6" s="102" t="s">
        <v>83</v>
      </c>
      <c r="D6" s="162" t="s">
        <v>75</v>
      </c>
      <c r="E6" s="136">
        <v>120</v>
      </c>
      <c r="F6" s="102"/>
      <c r="G6" s="102"/>
      <c r="H6" s="18"/>
      <c r="I6" s="17"/>
      <c r="J6" s="102"/>
      <c r="K6" s="102"/>
      <c r="L6" s="102"/>
      <c r="M6" s="102"/>
      <c r="N6" s="102"/>
      <c r="O6" s="102"/>
      <c r="P6" s="102"/>
      <c r="Q6" s="102"/>
      <c r="R6" s="102"/>
      <c r="S6" s="102"/>
    </row>
    <row r="7" spans="1:19" s="13" customFormat="1" ht="18.600000000000001" thickBot="1">
      <c r="A7" s="64"/>
      <c r="B7" s="75"/>
      <c r="C7" s="102" t="s">
        <v>24</v>
      </c>
      <c r="D7" s="162" t="s">
        <v>69</v>
      </c>
      <c r="E7" s="147">
        <f>E4-E6</f>
        <v>6880</v>
      </c>
      <c r="F7" s="102"/>
      <c r="G7" s="102"/>
      <c r="H7" s="18"/>
      <c r="I7" s="17"/>
      <c r="J7" s="102"/>
      <c r="K7" s="102"/>
      <c r="L7" s="102"/>
      <c r="M7" s="102"/>
      <c r="N7" s="102"/>
      <c r="O7" s="102"/>
      <c r="P7" s="102"/>
      <c r="Q7" s="102"/>
      <c r="R7" s="102"/>
      <c r="S7" s="102"/>
    </row>
    <row r="8" spans="1:19" s="13" customFormat="1">
      <c r="A8" s="64"/>
      <c r="B8" s="75"/>
      <c r="C8" s="102"/>
      <c r="D8" s="162"/>
      <c r="E8" s="9"/>
      <c r="F8" s="102"/>
      <c r="G8" s="102"/>
      <c r="H8" s="18"/>
      <c r="I8" s="17"/>
      <c r="J8" s="102"/>
      <c r="K8" s="102"/>
      <c r="L8" s="102"/>
      <c r="M8" s="102"/>
      <c r="N8" s="102"/>
      <c r="O8" s="102"/>
      <c r="P8" s="102"/>
      <c r="Q8" s="102"/>
      <c r="R8" s="102"/>
      <c r="S8" s="102"/>
    </row>
    <row r="9" spans="1:19" s="13" customFormat="1" ht="18.600000000000001" thickBot="1">
      <c r="A9" s="64">
        <v>0.5</v>
      </c>
      <c r="B9" s="75"/>
      <c r="C9" s="102" t="s">
        <v>24</v>
      </c>
      <c r="D9" s="162" t="s">
        <v>71</v>
      </c>
      <c r="E9" s="136">
        <v>7000</v>
      </c>
      <c r="F9" s="102"/>
      <c r="G9" s="102" t="s">
        <v>26</v>
      </c>
      <c r="H9" s="152">
        <f>LOG(E9/E12)/LOG(1+E10)</f>
        <v>0.3229594587859474</v>
      </c>
      <c r="I9" s="16" t="s">
        <v>84</v>
      </c>
      <c r="J9" s="102"/>
      <c r="K9" s="102"/>
      <c r="L9" s="102"/>
      <c r="M9" s="102"/>
      <c r="N9" s="102"/>
      <c r="O9" s="102"/>
      <c r="P9" s="102"/>
      <c r="Q9" s="102"/>
      <c r="R9" s="102"/>
      <c r="S9" s="102"/>
    </row>
    <row r="10" spans="1:19" s="13" customFormat="1" ht="15.95" thickBot="1">
      <c r="A10" s="64"/>
      <c r="B10" s="75"/>
      <c r="C10" s="102" t="s">
        <v>28</v>
      </c>
      <c r="D10" s="162" t="s">
        <v>29</v>
      </c>
      <c r="E10" s="139">
        <v>5.5E-2</v>
      </c>
      <c r="F10" s="102"/>
      <c r="G10" s="102"/>
      <c r="H10" s="151">
        <f>H9*365</f>
        <v>117.8802024568708</v>
      </c>
      <c r="I10" s="17" t="s">
        <v>82</v>
      </c>
      <c r="J10" s="102"/>
      <c r="K10" s="102"/>
      <c r="L10" s="102"/>
      <c r="M10" s="102"/>
      <c r="N10" s="102"/>
      <c r="O10" s="102"/>
      <c r="P10" s="102"/>
      <c r="Q10" s="102"/>
      <c r="R10" s="102"/>
      <c r="S10" s="102"/>
    </row>
    <row r="11" spans="1:19" s="13" customFormat="1" ht="18.600000000000001" thickBot="1">
      <c r="A11" s="64"/>
      <c r="B11" s="75"/>
      <c r="C11" s="102" t="s">
        <v>83</v>
      </c>
      <c r="D11" s="162" t="s">
        <v>75</v>
      </c>
      <c r="E11" s="136">
        <v>120</v>
      </c>
      <c r="F11" s="102"/>
      <c r="G11" s="102"/>
      <c r="H11" s="18"/>
      <c r="I11" s="17"/>
      <c r="J11" s="102"/>
      <c r="K11" s="102"/>
      <c r="L11" s="102"/>
      <c r="M11" s="102"/>
      <c r="N11" s="102"/>
      <c r="O11" s="102"/>
      <c r="P11" s="102"/>
      <c r="Q11" s="102"/>
      <c r="R11" s="102"/>
      <c r="S11" s="102"/>
    </row>
    <row r="12" spans="1:19" s="13" customFormat="1" ht="18.600000000000001" thickBot="1">
      <c r="A12" s="64"/>
      <c r="B12" s="75"/>
      <c r="C12" s="102" t="s">
        <v>24</v>
      </c>
      <c r="D12" s="162" t="s">
        <v>69</v>
      </c>
      <c r="E12" s="147">
        <f>E4-E6</f>
        <v>6880</v>
      </c>
      <c r="F12" s="102"/>
      <c r="G12" s="102"/>
      <c r="H12" s="18"/>
      <c r="I12" s="17"/>
      <c r="J12" s="102"/>
      <c r="K12" s="102"/>
      <c r="L12" s="102"/>
      <c r="M12" s="102"/>
      <c r="N12" s="102"/>
      <c r="O12" s="102"/>
      <c r="P12" s="102"/>
      <c r="Q12" s="102"/>
      <c r="R12" s="102"/>
      <c r="S12" s="102"/>
    </row>
    <row r="13" spans="1:19" s="13" customFormat="1">
      <c r="A13" s="64"/>
      <c r="B13" s="75"/>
      <c r="C13" s="102"/>
      <c r="D13" s="162"/>
      <c r="E13" s="6"/>
      <c r="F13" s="102"/>
      <c r="G13" s="102"/>
      <c r="H13" s="18"/>
      <c r="I13" s="17"/>
      <c r="J13" s="102"/>
      <c r="K13" s="102"/>
      <c r="L13" s="102"/>
      <c r="M13" s="102"/>
      <c r="N13" s="102"/>
      <c r="O13" s="102"/>
      <c r="P13" s="102"/>
      <c r="Q13" s="102">
        <f>+E16/365</f>
        <v>1.6438356164383562E-4</v>
      </c>
      <c r="R13" s="102"/>
      <c r="S13" s="102">
        <f>+E15/(1+Q13*E17)</f>
        <v>2968.2840878286797</v>
      </c>
    </row>
    <row r="14" spans="1:19" s="13" customFormat="1">
      <c r="A14" s="64"/>
      <c r="B14" s="82"/>
      <c r="C14" s="102"/>
      <c r="D14" s="102"/>
      <c r="E14" s="166"/>
      <c r="F14" s="102"/>
      <c r="G14" s="102"/>
      <c r="H14" s="18"/>
      <c r="I14" s="17"/>
      <c r="J14" s="102"/>
      <c r="K14" s="102"/>
      <c r="L14" s="102"/>
      <c r="M14" s="102"/>
      <c r="N14" s="102"/>
      <c r="O14" s="102"/>
      <c r="P14" s="102"/>
      <c r="Q14" s="102"/>
      <c r="R14" s="102"/>
      <c r="S14" s="102">
        <f>+E15*(1-Q13*E17)</f>
        <v>2967.9452054794519</v>
      </c>
    </row>
    <row r="15" spans="1:19" s="13" customFormat="1" ht="18">
      <c r="A15" s="64">
        <v>2</v>
      </c>
      <c r="B15" s="78" t="s">
        <v>85</v>
      </c>
      <c r="C15" s="102" t="s">
        <v>24</v>
      </c>
      <c r="D15" s="162" t="s">
        <v>71</v>
      </c>
      <c r="E15" s="136">
        <v>3000</v>
      </c>
      <c r="F15" s="102"/>
      <c r="G15" s="102" t="s">
        <v>26</v>
      </c>
      <c r="H15" s="83"/>
      <c r="I15" s="16" t="s">
        <v>86</v>
      </c>
      <c r="J15" s="102"/>
      <c r="K15" s="102"/>
      <c r="L15" s="102"/>
      <c r="M15" s="102"/>
      <c r="N15" s="102"/>
      <c r="O15" s="102"/>
      <c r="P15" s="102"/>
      <c r="Q15" s="102"/>
      <c r="R15" s="102"/>
      <c r="S15" s="102"/>
    </row>
    <row r="16" spans="1:19" s="13" customFormat="1">
      <c r="A16" s="64"/>
      <c r="B16" s="75"/>
      <c r="C16" s="102" t="s">
        <v>28</v>
      </c>
      <c r="D16" s="162" t="s">
        <v>29</v>
      </c>
      <c r="E16" s="138">
        <v>0.06</v>
      </c>
      <c r="F16" s="102"/>
      <c r="G16" s="102"/>
      <c r="H16" s="18"/>
      <c r="I16" s="17"/>
      <c r="J16" s="102"/>
      <c r="K16" s="102"/>
      <c r="L16" s="102"/>
      <c r="M16" s="102"/>
      <c r="N16" s="102"/>
      <c r="O16" s="102"/>
      <c r="P16" s="102"/>
      <c r="Q16" s="102"/>
      <c r="R16" s="102"/>
      <c r="S16" s="102"/>
    </row>
    <row r="17" spans="1:9" s="13" customFormat="1">
      <c r="A17" s="64"/>
      <c r="B17" s="75"/>
      <c r="C17" s="102" t="s">
        <v>30</v>
      </c>
      <c r="D17" s="162" t="s">
        <v>31</v>
      </c>
      <c r="E17" s="137">
        <v>65</v>
      </c>
      <c r="F17" s="102"/>
      <c r="G17" s="102"/>
      <c r="H17" s="18"/>
      <c r="I17" s="17"/>
    </row>
    <row r="18" spans="1:9" s="13" customFormat="1">
      <c r="A18" s="64"/>
      <c r="B18" s="75"/>
      <c r="C18" s="102"/>
      <c r="D18" s="162"/>
      <c r="E18" s="6"/>
      <c r="F18" s="102"/>
      <c r="G18" s="102"/>
      <c r="H18" s="18"/>
      <c r="I18" s="17"/>
    </row>
    <row r="19" spans="1:9" s="13" customFormat="1" ht="18">
      <c r="A19" s="64"/>
      <c r="B19" s="75"/>
      <c r="C19" s="102" t="s">
        <v>24</v>
      </c>
      <c r="D19" s="162" t="s">
        <v>71</v>
      </c>
      <c r="E19" s="136">
        <v>1700</v>
      </c>
      <c r="F19" s="102"/>
      <c r="G19" s="102" t="s">
        <v>26</v>
      </c>
      <c r="H19" s="83"/>
      <c r="I19" s="16" t="s">
        <v>87</v>
      </c>
    </row>
    <row r="20" spans="1:9" s="13" customFormat="1">
      <c r="A20" s="64"/>
      <c r="B20" s="75"/>
      <c r="C20" s="102" t="s">
        <v>28</v>
      </c>
      <c r="D20" s="162" t="s">
        <v>29</v>
      </c>
      <c r="E20" s="138">
        <v>0.06</v>
      </c>
      <c r="F20" s="102"/>
      <c r="G20" s="102"/>
      <c r="H20" s="18"/>
      <c r="I20" s="17"/>
    </row>
    <row r="21" spans="1:9" s="13" customFormat="1">
      <c r="A21" s="64"/>
      <c r="B21" s="75"/>
      <c r="C21" s="102" t="s">
        <v>30</v>
      </c>
      <c r="D21" s="162" t="s">
        <v>31</v>
      </c>
      <c r="E21" s="137">
        <v>45</v>
      </c>
      <c r="F21" s="102"/>
      <c r="G21" s="102"/>
      <c r="H21" s="18"/>
      <c r="I21" s="17"/>
    </row>
    <row r="22" spans="1:9" s="13" customFormat="1">
      <c r="A22" s="64"/>
      <c r="B22" s="75"/>
      <c r="C22" s="102"/>
      <c r="D22" s="162"/>
      <c r="E22" s="6"/>
      <c r="F22" s="102"/>
      <c r="G22" s="102"/>
      <c r="H22" s="18"/>
      <c r="I22" s="17"/>
    </row>
    <row r="23" spans="1:9" s="13" customFormat="1" ht="18">
      <c r="A23" s="64"/>
      <c r="B23" s="75"/>
      <c r="C23" s="102" t="s">
        <v>24</v>
      </c>
      <c r="D23" s="162" t="s">
        <v>71</v>
      </c>
      <c r="E23" s="136">
        <v>5000</v>
      </c>
      <c r="F23" s="102"/>
      <c r="G23" s="102" t="s">
        <v>26</v>
      </c>
      <c r="H23" s="83"/>
      <c r="I23" s="16" t="s">
        <v>88</v>
      </c>
    </row>
    <row r="24" spans="1:9" s="13" customFormat="1">
      <c r="A24" s="64"/>
      <c r="B24" s="75"/>
      <c r="C24" s="102" t="s">
        <v>28</v>
      </c>
      <c r="D24" s="162" t="s">
        <v>29</v>
      </c>
      <c r="E24" s="138">
        <v>0.06</v>
      </c>
      <c r="F24" s="102"/>
      <c r="G24" s="102"/>
      <c r="H24" s="18"/>
      <c r="I24" s="17"/>
    </row>
    <row r="25" spans="1:9" s="13" customFormat="1">
      <c r="A25" s="64"/>
      <c r="B25" s="75"/>
      <c r="C25" s="102" t="s">
        <v>30</v>
      </c>
      <c r="D25" s="162" t="s">
        <v>31</v>
      </c>
      <c r="E25" s="137">
        <v>25</v>
      </c>
      <c r="F25" s="102"/>
      <c r="G25" s="102"/>
      <c r="H25" s="18"/>
      <c r="I25" s="17"/>
    </row>
    <row r="26" spans="1:9" s="13" customFormat="1">
      <c r="A26" s="64"/>
      <c r="B26" s="75"/>
      <c r="C26" s="102"/>
      <c r="D26" s="162"/>
      <c r="E26" s="6"/>
      <c r="F26" s="102"/>
      <c r="G26" s="102"/>
      <c r="H26" s="18"/>
      <c r="I26" s="17"/>
    </row>
    <row r="27" spans="1:9" s="13" customFormat="1">
      <c r="A27" s="64"/>
      <c r="B27" s="75"/>
      <c r="C27" s="102"/>
      <c r="D27" s="162"/>
      <c r="E27" s="6"/>
      <c r="F27" s="102"/>
      <c r="G27" s="153" t="s">
        <v>89</v>
      </c>
      <c r="H27" s="61"/>
      <c r="I27" s="16"/>
    </row>
    <row r="28" spans="1:9" s="13" customFormat="1">
      <c r="A28" s="64"/>
      <c r="B28" s="75"/>
      <c r="C28" s="102"/>
      <c r="D28" s="162"/>
      <c r="E28" s="6"/>
      <c r="F28" s="102"/>
      <c r="G28" s="102"/>
      <c r="H28" s="18"/>
      <c r="I28" s="17"/>
    </row>
    <row r="29" spans="1:9" s="13" customFormat="1">
      <c r="A29" s="64"/>
      <c r="B29" s="82"/>
      <c r="C29" s="102"/>
      <c r="D29" s="102"/>
      <c r="E29" s="166"/>
      <c r="F29" s="102"/>
      <c r="G29" s="102"/>
      <c r="H29" s="18"/>
      <c r="I29" s="17"/>
    </row>
    <row r="30" spans="1:9" s="13" customFormat="1" ht="18">
      <c r="A30" s="64">
        <v>2</v>
      </c>
      <c r="B30" s="78" t="s">
        <v>90</v>
      </c>
      <c r="C30" s="102" t="s">
        <v>83</v>
      </c>
      <c r="D30" s="162" t="s">
        <v>75</v>
      </c>
      <c r="E30" s="136">
        <v>72</v>
      </c>
      <c r="F30" s="102"/>
      <c r="G30" s="102" t="s">
        <v>26</v>
      </c>
      <c r="H30" s="61">
        <f>E30/((E31/365)*E32)</f>
        <v>8938.775510204081</v>
      </c>
      <c r="I30" s="16" t="s">
        <v>91</v>
      </c>
    </row>
    <row r="31" spans="1:9" s="13" customFormat="1">
      <c r="A31" s="64"/>
      <c r="B31" s="75"/>
      <c r="C31" s="102" t="s">
        <v>28</v>
      </c>
      <c r="D31" s="162" t="s">
        <v>29</v>
      </c>
      <c r="E31" s="138">
        <v>7.0000000000000007E-2</v>
      </c>
      <c r="F31" s="102"/>
      <c r="G31" s="102"/>
      <c r="H31" s="18"/>
      <c r="I31" s="17"/>
    </row>
    <row r="32" spans="1:9" s="13" customFormat="1">
      <c r="A32" s="64"/>
      <c r="B32" s="75"/>
      <c r="C32" s="102" t="s">
        <v>30</v>
      </c>
      <c r="D32" s="162" t="s">
        <v>31</v>
      </c>
      <c r="E32" s="137">
        <v>42</v>
      </c>
      <c r="F32" s="102"/>
      <c r="G32" s="102"/>
      <c r="H32" s="66"/>
      <c r="I32" s="17"/>
    </row>
    <row r="33" spans="1:11" s="13" customFormat="1">
      <c r="A33" s="64"/>
      <c r="B33" s="75"/>
      <c r="C33" s="102"/>
      <c r="D33" s="162"/>
      <c r="E33" s="6"/>
      <c r="F33" s="102"/>
      <c r="G33" s="102"/>
      <c r="H33" s="66"/>
      <c r="I33" s="17"/>
      <c r="J33" s="102"/>
      <c r="K33" s="102"/>
    </row>
    <row r="34" spans="1:11" s="13" customFormat="1">
      <c r="A34" s="64"/>
      <c r="B34" s="82"/>
      <c r="C34" s="102"/>
      <c r="D34" s="102"/>
      <c r="E34" s="166"/>
      <c r="F34" s="102"/>
      <c r="G34" s="102"/>
      <c r="H34" s="18"/>
      <c r="I34" s="17"/>
      <c r="J34" s="102"/>
      <c r="K34" s="102"/>
    </row>
    <row r="35" spans="1:11" s="13" customFormat="1" ht="18">
      <c r="A35" s="64">
        <v>2</v>
      </c>
      <c r="B35" s="78" t="s">
        <v>92</v>
      </c>
      <c r="C35" s="102" t="s">
        <v>24</v>
      </c>
      <c r="D35" s="162" t="s">
        <v>71</v>
      </c>
      <c r="E35" s="136">
        <v>520</v>
      </c>
      <c r="F35" s="102"/>
      <c r="G35" s="102" t="s">
        <v>26</v>
      </c>
      <c r="H35" s="83"/>
      <c r="I35" s="16" t="s">
        <v>93</v>
      </c>
      <c r="J35" s="102"/>
      <c r="K35" s="102"/>
    </row>
    <row r="36" spans="1:11">
      <c r="A36" s="63"/>
      <c r="B36" s="75"/>
      <c r="C36" s="102" t="s">
        <v>28</v>
      </c>
      <c r="D36" s="162" t="s">
        <v>29</v>
      </c>
      <c r="E36" s="138">
        <v>0.06</v>
      </c>
      <c r="F36" s="102"/>
      <c r="G36" s="102"/>
      <c r="H36" s="18"/>
      <c r="I36" s="17"/>
      <c r="J36" s="102"/>
      <c r="K36" s="102"/>
    </row>
    <row r="37" spans="1:11">
      <c r="A37" s="63"/>
      <c r="B37" s="75"/>
      <c r="C37" s="102" t="s">
        <v>30</v>
      </c>
      <c r="D37" s="162" t="s">
        <v>31</v>
      </c>
      <c r="E37" s="137">
        <v>15</v>
      </c>
      <c r="F37" s="102"/>
      <c r="G37" s="102"/>
      <c r="H37" s="18"/>
      <c r="I37" s="17"/>
      <c r="J37" s="102"/>
      <c r="K37" s="102"/>
    </row>
    <row r="38" spans="1:11">
      <c r="A38" s="63"/>
      <c r="B38" s="75"/>
      <c r="C38" s="102"/>
      <c r="D38" s="162"/>
      <c r="E38" s="6"/>
      <c r="F38" s="102"/>
      <c r="G38" s="102"/>
      <c r="H38" s="18"/>
      <c r="I38" s="17"/>
      <c r="J38" s="102"/>
      <c r="K38" s="102"/>
    </row>
    <row r="39" spans="1:11" ht="18">
      <c r="A39" s="63"/>
      <c r="B39" s="75"/>
      <c r="C39" s="102" t="s">
        <v>24</v>
      </c>
      <c r="D39" s="162" t="s">
        <v>71</v>
      </c>
      <c r="E39" s="136">
        <v>1380</v>
      </c>
      <c r="F39" s="102"/>
      <c r="G39" s="102" t="s">
        <v>26</v>
      </c>
      <c r="H39" s="83"/>
      <c r="I39" s="16" t="s">
        <v>94</v>
      </c>
      <c r="J39" s="102"/>
      <c r="K39" s="102"/>
    </row>
    <row r="40" spans="1:11">
      <c r="A40" s="63"/>
      <c r="B40" s="75"/>
      <c r="C40" s="102" t="s">
        <v>28</v>
      </c>
      <c r="D40" s="162" t="s">
        <v>29</v>
      </c>
      <c r="E40" s="138">
        <v>0.06</v>
      </c>
      <c r="F40" s="102"/>
      <c r="G40" s="102"/>
      <c r="H40" s="18"/>
      <c r="I40" s="17"/>
      <c r="J40" s="102"/>
      <c r="K40" s="102"/>
    </row>
    <row r="41" spans="1:11">
      <c r="A41" s="63"/>
      <c r="B41" s="75"/>
      <c r="C41" s="102" t="s">
        <v>30</v>
      </c>
      <c r="D41" s="162" t="s">
        <v>31</v>
      </c>
      <c r="E41" s="137">
        <v>30</v>
      </c>
      <c r="F41" s="102"/>
      <c r="G41" s="102"/>
      <c r="H41" s="18"/>
      <c r="I41" s="17"/>
      <c r="J41" s="102"/>
      <c r="K41" s="102"/>
    </row>
    <row r="42" spans="1:11">
      <c r="A42" s="63"/>
      <c r="B42" s="75"/>
      <c r="C42" s="102"/>
      <c r="D42" s="162"/>
      <c r="E42" s="6"/>
      <c r="F42" s="102"/>
      <c r="G42" s="102"/>
      <c r="H42" s="18"/>
      <c r="I42" s="17"/>
      <c r="J42" s="102"/>
      <c r="K42" s="102"/>
    </row>
    <row r="43" spans="1:11" ht="18">
      <c r="A43" s="63"/>
      <c r="B43" s="75"/>
      <c r="C43" s="102" t="s">
        <v>24</v>
      </c>
      <c r="D43" s="162" t="s">
        <v>71</v>
      </c>
      <c r="E43" s="136">
        <v>4100</v>
      </c>
      <c r="F43" s="102"/>
      <c r="G43" s="102" t="s">
        <v>26</v>
      </c>
      <c r="H43" s="83"/>
      <c r="I43" s="16" t="s">
        <v>95</v>
      </c>
      <c r="J43" s="102"/>
      <c r="K43" s="102"/>
    </row>
    <row r="44" spans="1:11">
      <c r="A44" s="63"/>
      <c r="B44" s="75"/>
      <c r="C44" s="102" t="s">
        <v>28</v>
      </c>
      <c r="D44" s="162" t="s">
        <v>29</v>
      </c>
      <c r="E44" s="138">
        <v>0.06</v>
      </c>
      <c r="F44" s="102"/>
      <c r="G44" s="102"/>
      <c r="H44" s="18"/>
      <c r="I44" s="17"/>
      <c r="J44" s="102"/>
      <c r="K44" s="102"/>
    </row>
    <row r="45" spans="1:11">
      <c r="A45" s="63"/>
      <c r="B45" s="75"/>
      <c r="C45" s="102" t="s">
        <v>30</v>
      </c>
      <c r="D45" s="162" t="s">
        <v>31</v>
      </c>
      <c r="E45" s="137">
        <v>65</v>
      </c>
      <c r="F45" s="102"/>
      <c r="G45" s="102"/>
      <c r="H45" s="18"/>
      <c r="I45" s="17"/>
      <c r="J45" s="102"/>
      <c r="K45" s="102"/>
    </row>
    <row r="46" spans="1:11">
      <c r="A46" s="63"/>
      <c r="B46" s="75"/>
      <c r="C46" s="102"/>
      <c r="D46" s="162"/>
      <c r="E46" s="6"/>
      <c r="F46" s="102"/>
      <c r="G46" s="102"/>
      <c r="H46" s="18"/>
      <c r="I46" s="17"/>
      <c r="J46" s="102"/>
      <c r="K46" s="102"/>
    </row>
    <row r="47" spans="1:11" ht="17.45">
      <c r="A47" s="63"/>
      <c r="B47" s="75"/>
      <c r="C47" s="16" t="s">
        <v>89</v>
      </c>
      <c r="D47" s="162"/>
      <c r="E47" s="6"/>
      <c r="F47" s="102"/>
      <c r="G47" s="102"/>
      <c r="H47" s="61"/>
      <c r="I47" s="16" t="s">
        <v>96</v>
      </c>
      <c r="J47" s="102"/>
      <c r="K47" s="102"/>
    </row>
    <row r="48" spans="1:11">
      <c r="A48" s="63"/>
    </row>
    <row r="49" spans="1:9" ht="18">
      <c r="A49" s="63"/>
      <c r="C49" s="102" t="s">
        <v>24</v>
      </c>
      <c r="D49" s="162" t="s">
        <v>69</v>
      </c>
      <c r="E49" s="135">
        <f>H47</f>
        <v>0</v>
      </c>
    </row>
    <row r="50" spans="1:9">
      <c r="A50" s="63"/>
      <c r="C50" s="102" t="s">
        <v>28</v>
      </c>
      <c r="D50" s="162" t="s">
        <v>29</v>
      </c>
      <c r="E50" s="138">
        <v>0.06</v>
      </c>
    </row>
    <row r="51" spans="1:9">
      <c r="A51" s="63"/>
      <c r="C51" s="102" t="s">
        <v>30</v>
      </c>
      <c r="D51" s="162" t="s">
        <v>31</v>
      </c>
      <c r="E51" s="137">
        <v>45</v>
      </c>
    </row>
    <row r="52" spans="1:9">
      <c r="A52" s="63"/>
      <c r="G52" s="154" t="s">
        <v>97</v>
      </c>
      <c r="H52" s="61"/>
      <c r="I52" s="16" t="s">
        <v>98</v>
      </c>
    </row>
    <row r="53" spans="1:9">
      <c r="A53" s="63"/>
    </row>
    <row r="54" spans="1:9">
      <c r="A54" s="63"/>
    </row>
    <row r="55" spans="1:9" ht="18">
      <c r="A55" s="63"/>
      <c r="B55" s="78" t="s">
        <v>99</v>
      </c>
      <c r="C55" s="102" t="s">
        <v>24</v>
      </c>
      <c r="D55" s="162" t="s">
        <v>71</v>
      </c>
      <c r="E55" s="136">
        <v>6000</v>
      </c>
      <c r="F55" s="102"/>
      <c r="G55" s="102" t="s">
        <v>26</v>
      </c>
      <c r="H55" s="83">
        <f>E55/((1+E56)^E57)</f>
        <v>6000</v>
      </c>
      <c r="I55" s="16" t="s">
        <v>100</v>
      </c>
    </row>
    <row r="56" spans="1:9">
      <c r="A56" s="63"/>
      <c r="B56" s="75"/>
      <c r="C56" s="102" t="s">
        <v>28</v>
      </c>
      <c r="D56" s="162" t="s">
        <v>29</v>
      </c>
      <c r="E56" s="138">
        <v>0.05</v>
      </c>
      <c r="F56" s="102"/>
      <c r="G56" s="102"/>
      <c r="H56" s="18"/>
      <c r="I56" s="17"/>
    </row>
    <row r="57" spans="1:9">
      <c r="A57" s="63"/>
      <c r="B57" s="75"/>
      <c r="C57" s="102" t="s">
        <v>30</v>
      </c>
      <c r="D57" s="162" t="s">
        <v>31</v>
      </c>
      <c r="E57" s="148">
        <v>0</v>
      </c>
      <c r="F57" s="102"/>
      <c r="G57" s="102"/>
      <c r="H57" s="18"/>
      <c r="I57" s="17"/>
    </row>
    <row r="58" spans="1:9">
      <c r="A58" s="63"/>
      <c r="B58" s="75"/>
      <c r="C58" s="102"/>
      <c r="D58" s="162"/>
      <c r="E58" s="6"/>
      <c r="F58" s="102"/>
      <c r="G58" s="102"/>
      <c r="H58" s="18"/>
      <c r="I58" s="17"/>
    </row>
    <row r="59" spans="1:9" ht="18">
      <c r="A59" s="63"/>
      <c r="B59" s="75"/>
      <c r="C59" s="102" t="s">
        <v>24</v>
      </c>
      <c r="D59" s="162" t="s">
        <v>71</v>
      </c>
      <c r="E59" s="136">
        <v>5640</v>
      </c>
      <c r="F59" s="102"/>
      <c r="G59" s="102" t="s">
        <v>26</v>
      </c>
      <c r="H59" s="83">
        <f>E59/((1+E60)^E61)</f>
        <v>5305.7384760112891</v>
      </c>
      <c r="I59" s="16" t="s">
        <v>101</v>
      </c>
    </row>
    <row r="60" spans="1:9">
      <c r="A60" s="63"/>
      <c r="B60" s="75"/>
      <c r="C60" s="102" t="s">
        <v>28</v>
      </c>
      <c r="D60" s="162" t="s">
        <v>29</v>
      </c>
      <c r="E60" s="139">
        <v>6.3E-2</v>
      </c>
      <c r="F60" s="102"/>
      <c r="G60" s="102"/>
      <c r="H60" s="18"/>
      <c r="I60" s="17"/>
    </row>
    <row r="61" spans="1:9">
      <c r="A61" s="63"/>
      <c r="B61" s="75"/>
      <c r="C61" s="102" t="s">
        <v>30</v>
      </c>
      <c r="D61" s="162" t="s">
        <v>31</v>
      </c>
      <c r="E61" s="148">
        <v>1</v>
      </c>
      <c r="F61" s="102"/>
      <c r="G61" s="102"/>
      <c r="H61" s="18"/>
      <c r="I61" s="17"/>
    </row>
    <row r="62" spans="1:9">
      <c r="A62" s="63"/>
      <c r="B62" s="75"/>
      <c r="C62" s="102"/>
      <c r="D62" s="162"/>
      <c r="E62" s="6"/>
      <c r="F62" s="102"/>
      <c r="G62" s="102"/>
      <c r="H62" s="18"/>
      <c r="I62" s="17"/>
    </row>
    <row r="63" spans="1:9" ht="18">
      <c r="A63" s="63"/>
      <c r="B63" s="75"/>
      <c r="C63" s="102" t="s">
        <v>24</v>
      </c>
      <c r="D63" s="162" t="s">
        <v>71</v>
      </c>
      <c r="E63" s="136">
        <v>3500</v>
      </c>
      <c r="F63" s="102"/>
      <c r="G63" s="102" t="s">
        <v>26</v>
      </c>
      <c r="H63" s="83">
        <f>E63/((1+E64)^E65)</f>
        <v>2980.6478246433794</v>
      </c>
      <c r="I63" s="16" t="s">
        <v>102</v>
      </c>
    </row>
    <row r="64" spans="1:9">
      <c r="A64" s="63"/>
      <c r="B64" s="75"/>
      <c r="C64" s="102" t="s">
        <v>28</v>
      </c>
      <c r="D64" s="162" t="s">
        <v>29</v>
      </c>
      <c r="E64" s="139">
        <v>5.5E-2</v>
      </c>
      <c r="F64" s="102"/>
      <c r="G64" s="102"/>
      <c r="H64" s="18"/>
      <c r="I64" s="17"/>
    </row>
    <row r="65" spans="1:9">
      <c r="A65" s="63"/>
      <c r="B65" s="75"/>
      <c r="C65" s="102" t="s">
        <v>30</v>
      </c>
      <c r="D65" s="162" t="s">
        <v>31</v>
      </c>
      <c r="E65" s="148">
        <v>3</v>
      </c>
      <c r="F65" s="102"/>
      <c r="G65" s="102"/>
      <c r="H65" s="18"/>
      <c r="I65" s="17"/>
    </row>
    <row r="66" spans="1:9">
      <c r="A66" s="63"/>
      <c r="B66" s="75"/>
      <c r="C66" s="102"/>
      <c r="D66" s="162"/>
      <c r="E66" s="6"/>
      <c r="F66" s="102"/>
      <c r="G66" s="102"/>
      <c r="H66" s="18"/>
      <c r="I66" s="17"/>
    </row>
    <row r="67" spans="1:9">
      <c r="A67" s="63">
        <v>1.5</v>
      </c>
      <c r="B67" s="75"/>
      <c r="D67" s="162"/>
      <c r="E67" s="6"/>
      <c r="F67" s="102"/>
      <c r="G67" s="153" t="s">
        <v>103</v>
      </c>
      <c r="H67" s="61">
        <f>H55+H59+H63</f>
        <v>14286.386300654669</v>
      </c>
      <c r="I67" s="16"/>
    </row>
    <row r="68" spans="1:9">
      <c r="A68" s="63"/>
    </row>
    <row r="69" spans="1:9">
      <c r="A69" s="63"/>
    </row>
    <row r="70" spans="1:9" ht="18">
      <c r="A70" s="63"/>
      <c r="C70" s="102" t="s">
        <v>24</v>
      </c>
      <c r="D70" s="162" t="s">
        <v>71</v>
      </c>
      <c r="E70" s="136">
        <v>6000</v>
      </c>
      <c r="F70" s="102"/>
      <c r="G70" s="102" t="s">
        <v>26</v>
      </c>
      <c r="H70" s="83"/>
      <c r="I70" s="16" t="s">
        <v>104</v>
      </c>
    </row>
    <row r="71" spans="1:9">
      <c r="A71" s="63"/>
      <c r="C71" s="102" t="s">
        <v>28</v>
      </c>
      <c r="D71" s="162" t="s">
        <v>29</v>
      </c>
      <c r="E71" s="139">
        <v>0.05</v>
      </c>
      <c r="F71" s="102"/>
      <c r="G71" s="102"/>
      <c r="H71" s="18"/>
      <c r="I71" s="17"/>
    </row>
    <row r="72" spans="1:9">
      <c r="A72" s="63"/>
      <c r="C72" s="102" t="s">
        <v>30</v>
      </c>
      <c r="D72" s="162" t="s">
        <v>31</v>
      </c>
      <c r="E72" s="148">
        <v>0</v>
      </c>
      <c r="F72" s="102"/>
      <c r="G72" s="102"/>
      <c r="H72" s="18"/>
      <c r="I72" s="17"/>
    </row>
    <row r="73" spans="1:9">
      <c r="A73" s="63"/>
      <c r="C73" s="102"/>
      <c r="D73" s="162"/>
      <c r="E73" s="6"/>
      <c r="F73" s="102"/>
      <c r="G73" s="102"/>
      <c r="H73" s="18"/>
      <c r="I73" s="17"/>
    </row>
    <row r="74" spans="1:9" ht="18">
      <c r="A74" s="63"/>
      <c r="C74" s="102" t="s">
        <v>24</v>
      </c>
      <c r="D74" s="162" t="s">
        <v>71</v>
      </c>
      <c r="E74" s="136">
        <v>5640</v>
      </c>
      <c r="F74" s="102"/>
      <c r="G74" s="102" t="s">
        <v>26</v>
      </c>
      <c r="H74" s="83"/>
      <c r="I74" s="16" t="s">
        <v>105</v>
      </c>
    </row>
    <row r="75" spans="1:9">
      <c r="A75" s="63"/>
      <c r="C75" s="102" t="s">
        <v>28</v>
      </c>
      <c r="D75" s="162" t="s">
        <v>29</v>
      </c>
      <c r="E75" s="139">
        <v>6.3E-2</v>
      </c>
      <c r="F75" s="102"/>
      <c r="G75" s="102"/>
      <c r="H75" s="18"/>
      <c r="I75" s="17"/>
    </row>
    <row r="76" spans="1:9">
      <c r="A76" s="63"/>
      <c r="C76" s="102" t="s">
        <v>30</v>
      </c>
      <c r="D76" s="162" t="s">
        <v>31</v>
      </c>
      <c r="E76" s="148">
        <v>1</v>
      </c>
      <c r="F76" s="102"/>
      <c r="G76" s="102"/>
      <c r="H76" s="18"/>
      <c r="I76" s="17"/>
    </row>
    <row r="77" spans="1:9">
      <c r="A77" s="63"/>
      <c r="C77" s="102"/>
      <c r="D77" s="162"/>
      <c r="E77" s="6"/>
      <c r="F77" s="102"/>
      <c r="G77" s="102"/>
      <c r="H77" s="18"/>
      <c r="I77" s="17"/>
    </row>
    <row r="78" spans="1:9" ht="18">
      <c r="A78" s="63"/>
      <c r="C78" s="102" t="s">
        <v>24</v>
      </c>
      <c r="D78" s="162" t="s">
        <v>71</v>
      </c>
      <c r="E78" s="136">
        <v>3500</v>
      </c>
      <c r="F78" s="102"/>
      <c r="G78" s="102" t="s">
        <v>26</v>
      </c>
      <c r="H78" s="83"/>
      <c r="I78" s="16" t="s">
        <v>106</v>
      </c>
    </row>
    <row r="79" spans="1:9">
      <c r="A79" s="63"/>
      <c r="C79" s="102" t="s">
        <v>28</v>
      </c>
      <c r="D79" s="162" t="s">
        <v>29</v>
      </c>
      <c r="E79" s="139">
        <v>5.5E-2</v>
      </c>
      <c r="F79" s="102"/>
      <c r="G79" s="102"/>
      <c r="H79" s="18"/>
      <c r="I79" s="17"/>
    </row>
    <row r="80" spans="1:9">
      <c r="A80" s="63"/>
      <c r="C80" s="102" t="s">
        <v>30</v>
      </c>
      <c r="D80" s="162" t="s">
        <v>31</v>
      </c>
      <c r="E80" s="148">
        <v>3</v>
      </c>
      <c r="F80" s="102"/>
      <c r="G80" s="102"/>
      <c r="H80" s="18"/>
      <c r="I80" s="17"/>
    </row>
    <row r="81" spans="1:15">
      <c r="A81" s="63"/>
      <c r="C81" s="102"/>
      <c r="D81" s="162"/>
      <c r="E81" s="6"/>
      <c r="F81" s="102"/>
      <c r="G81" s="102"/>
      <c r="H81" s="18"/>
      <c r="I81" s="17"/>
    </row>
    <row r="82" spans="1:15" ht="17.45">
      <c r="A82" s="63">
        <v>1.5</v>
      </c>
      <c r="C82" s="16" t="s">
        <v>107</v>
      </c>
      <c r="D82" s="162"/>
      <c r="E82" s="6"/>
      <c r="F82" s="102"/>
      <c r="G82" s="102"/>
      <c r="H82" s="61"/>
      <c r="I82" s="16" t="s">
        <v>96</v>
      </c>
    </row>
    <row r="83" spans="1:15">
      <c r="A83" s="63"/>
    </row>
    <row r="84" spans="1:15">
      <c r="A84" s="63">
        <f>SUM(A4:A82)</f>
        <v>10</v>
      </c>
    </row>
    <row r="85" spans="1:15" s="13" customFormat="1" ht="18">
      <c r="A85" s="102"/>
      <c r="B85" s="78" t="s">
        <v>108</v>
      </c>
      <c r="C85" s="102" t="s">
        <v>24</v>
      </c>
      <c r="D85" s="162" t="s">
        <v>71</v>
      </c>
      <c r="E85" s="136">
        <v>180000</v>
      </c>
      <c r="F85" s="102"/>
      <c r="G85" s="102" t="s">
        <v>26</v>
      </c>
      <c r="H85" s="62"/>
      <c r="I85" s="16" t="s">
        <v>109</v>
      </c>
      <c r="J85" s="102"/>
      <c r="K85" s="102"/>
      <c r="L85" s="102"/>
      <c r="M85" s="102"/>
      <c r="N85" s="102"/>
      <c r="O85" s="102"/>
    </row>
    <row r="86" spans="1:15" s="13" customFormat="1">
      <c r="A86" s="102"/>
      <c r="B86" s="75"/>
      <c r="C86" s="102" t="s">
        <v>30</v>
      </c>
      <c r="D86" s="162" t="s">
        <v>31</v>
      </c>
      <c r="E86" s="148">
        <v>4</v>
      </c>
      <c r="F86" s="102"/>
      <c r="G86" s="102"/>
      <c r="H86" s="18"/>
      <c r="I86" s="17"/>
      <c r="J86" s="102"/>
      <c r="K86" s="102"/>
      <c r="L86" s="102"/>
      <c r="M86" s="102"/>
      <c r="N86" s="102"/>
      <c r="O86" s="102"/>
    </row>
    <row r="87" spans="1:15" s="13" customFormat="1" ht="18">
      <c r="A87" s="102"/>
      <c r="B87" s="75"/>
      <c r="C87" s="102" t="s">
        <v>24</v>
      </c>
      <c r="D87" s="162" t="s">
        <v>69</v>
      </c>
      <c r="E87" s="136">
        <v>150000</v>
      </c>
      <c r="F87" s="102"/>
      <c r="G87" s="102"/>
      <c r="H87" s="18"/>
      <c r="I87" s="17"/>
      <c r="J87" s="102"/>
      <c r="K87" s="102"/>
      <c r="L87" s="102"/>
      <c r="M87" s="102"/>
      <c r="N87" s="102"/>
      <c r="O87" s="102"/>
    </row>
    <row r="88" spans="1:15" s="13" customFormat="1">
      <c r="A88" s="102"/>
      <c r="B88" s="75"/>
      <c r="C88" s="102"/>
      <c r="D88" s="162"/>
      <c r="E88" s="3"/>
      <c r="F88" s="102"/>
      <c r="G88" s="102"/>
      <c r="H88" s="18"/>
      <c r="I88" s="17"/>
      <c r="J88" s="102"/>
      <c r="K88" s="102"/>
      <c r="L88" s="102"/>
      <c r="M88" s="102"/>
      <c r="N88" s="102"/>
      <c r="O88" s="102"/>
    </row>
    <row r="89" spans="1:15" s="13" customFormat="1" ht="18">
      <c r="A89" s="102"/>
      <c r="B89" s="75"/>
      <c r="C89" s="102" t="s">
        <v>24</v>
      </c>
      <c r="D89" s="162" t="s">
        <v>71</v>
      </c>
      <c r="E89" s="136">
        <v>180000</v>
      </c>
      <c r="F89" s="102"/>
      <c r="G89" s="102" t="s">
        <v>26</v>
      </c>
      <c r="H89" s="62"/>
      <c r="I89" s="16" t="s">
        <v>110</v>
      </c>
      <c r="J89" s="102"/>
      <c r="K89" s="102"/>
      <c r="L89" s="102"/>
      <c r="M89" s="102"/>
      <c r="N89" s="102"/>
      <c r="O89" s="102"/>
    </row>
    <row r="90" spans="1:15" s="13" customFormat="1">
      <c r="A90" s="102"/>
      <c r="B90" s="75"/>
      <c r="C90" s="102" t="s">
        <v>30</v>
      </c>
      <c r="D90" s="162" t="s">
        <v>31</v>
      </c>
      <c r="E90" s="58">
        <v>38</v>
      </c>
      <c r="F90" s="102"/>
      <c r="G90" s="102"/>
      <c r="H90" s="62"/>
      <c r="I90" s="16" t="s">
        <v>111</v>
      </c>
      <c r="J90" s="102"/>
      <c r="K90" s="102"/>
      <c r="L90" s="102"/>
      <c r="M90" s="102"/>
      <c r="N90" s="102"/>
      <c r="O90" s="102"/>
    </row>
    <row r="91" spans="1:15" s="13" customFormat="1" ht="18">
      <c r="A91" s="102"/>
      <c r="B91" s="75"/>
      <c r="C91" s="102" t="s">
        <v>24</v>
      </c>
      <c r="D91" s="162" t="s">
        <v>69</v>
      </c>
      <c r="E91" s="136">
        <v>150000</v>
      </c>
      <c r="F91" s="102"/>
      <c r="G91" s="102"/>
      <c r="H91" s="166"/>
      <c r="I91" s="102"/>
      <c r="J91" s="102"/>
      <c r="K91" s="102"/>
      <c r="L91" s="102"/>
      <c r="M91" s="102"/>
      <c r="N91" s="102"/>
      <c r="O91" s="102"/>
    </row>
    <row r="92" spans="1:15" s="13" customFormat="1">
      <c r="A92" s="102"/>
      <c r="B92" s="75"/>
      <c r="C92" s="102"/>
      <c r="D92" s="162"/>
      <c r="E92" s="9"/>
      <c r="F92" s="102"/>
      <c r="G92" s="102"/>
      <c r="H92" s="166"/>
      <c r="I92" s="102"/>
      <c r="J92" s="102"/>
      <c r="K92" s="102"/>
      <c r="L92" s="102"/>
      <c r="M92" s="102"/>
      <c r="N92" s="102"/>
      <c r="O92" s="102"/>
    </row>
    <row r="93" spans="1:15" s="13" customFormat="1">
      <c r="A93" s="102"/>
      <c r="B93" s="75"/>
      <c r="C93" s="102"/>
      <c r="D93" s="162"/>
      <c r="E93" s="3"/>
      <c r="F93" s="102"/>
      <c r="G93" s="102"/>
      <c r="H93" s="18"/>
      <c r="I93" s="17"/>
      <c r="J93" s="17"/>
      <c r="K93" s="17"/>
      <c r="L93" s="17"/>
      <c r="M93" s="17"/>
      <c r="N93" s="17"/>
      <c r="O93" s="17"/>
    </row>
    <row r="94" spans="1:15" s="13" customFormat="1" ht="17.45">
      <c r="A94" s="102"/>
      <c r="B94" s="78" t="s">
        <v>112</v>
      </c>
      <c r="C94" s="102" t="s">
        <v>113</v>
      </c>
      <c r="D94" s="162" t="s">
        <v>114</v>
      </c>
      <c r="E94" s="139">
        <v>7.2999999999999995E-2</v>
      </c>
      <c r="F94" s="102"/>
      <c r="G94" s="102"/>
      <c r="H94" s="7"/>
      <c r="I94" s="15"/>
      <c r="J94" s="76" t="s">
        <v>115</v>
      </c>
      <c r="K94" s="102"/>
      <c r="L94" s="102"/>
      <c r="M94" s="102"/>
      <c r="N94" s="102"/>
      <c r="O94" s="102"/>
    </row>
    <row r="95" spans="1:15" s="13" customFormat="1" ht="17.45">
      <c r="A95" s="102"/>
      <c r="B95" s="75"/>
      <c r="C95" s="102" t="s">
        <v>116</v>
      </c>
      <c r="D95" s="156" t="s">
        <v>117</v>
      </c>
      <c r="E95" s="149">
        <v>2</v>
      </c>
      <c r="F95" s="102"/>
      <c r="G95" s="11" t="s">
        <v>118</v>
      </c>
      <c r="H95" s="86"/>
      <c r="I95" s="155" t="s">
        <v>66</v>
      </c>
      <c r="J95" s="67" t="s">
        <v>119</v>
      </c>
      <c r="K95" s="62"/>
      <c r="L95" s="102"/>
      <c r="M95" s="102"/>
      <c r="N95" s="102"/>
      <c r="O95" s="102"/>
    </row>
    <row r="96" spans="1:15" s="13" customFormat="1" ht="17.45">
      <c r="A96" s="102"/>
      <c r="B96" s="75"/>
      <c r="C96" s="102"/>
      <c r="D96" s="156" t="s">
        <v>120</v>
      </c>
      <c r="E96" s="149">
        <v>3</v>
      </c>
      <c r="F96" s="102"/>
      <c r="G96" s="11" t="s">
        <v>121</v>
      </c>
      <c r="H96" s="86"/>
      <c r="I96" s="155" t="s">
        <v>66</v>
      </c>
      <c r="J96" s="67" t="s">
        <v>119</v>
      </c>
      <c r="K96" s="62"/>
      <c r="L96" s="102"/>
      <c r="M96" s="102"/>
      <c r="N96" s="102"/>
      <c r="O96" s="102"/>
    </row>
    <row r="97" spans="2:11" s="13" customFormat="1" ht="17.45">
      <c r="B97" s="75"/>
      <c r="C97" s="20"/>
      <c r="D97" s="156" t="s">
        <v>122</v>
      </c>
      <c r="E97" s="149">
        <v>4</v>
      </c>
      <c r="F97" s="102"/>
      <c r="G97" s="11" t="s">
        <v>123</v>
      </c>
      <c r="H97" s="86"/>
      <c r="I97" s="155" t="s">
        <v>66</v>
      </c>
      <c r="J97" s="67" t="s">
        <v>119</v>
      </c>
      <c r="K97" s="62"/>
    </row>
    <row r="98" spans="2:11" s="13" customFormat="1" ht="17.45">
      <c r="B98" s="75"/>
      <c r="C98" s="102"/>
      <c r="D98" s="156" t="s">
        <v>124</v>
      </c>
      <c r="E98" s="149">
        <v>6</v>
      </c>
      <c r="F98" s="102"/>
      <c r="G98" s="11" t="s">
        <v>125</v>
      </c>
      <c r="H98" s="86"/>
      <c r="I98" s="155" t="s">
        <v>66</v>
      </c>
      <c r="J98" s="67" t="s">
        <v>119</v>
      </c>
      <c r="K98" s="62"/>
    </row>
    <row r="99" spans="2:11" s="13" customFormat="1" ht="17.45">
      <c r="B99" s="75"/>
      <c r="C99" s="102"/>
      <c r="D99" s="156" t="s">
        <v>126</v>
      </c>
      <c r="E99" s="149">
        <v>12</v>
      </c>
      <c r="F99" s="102"/>
      <c r="G99" s="11" t="s">
        <v>127</v>
      </c>
      <c r="H99" s="86"/>
      <c r="I99" s="155" t="s">
        <v>66</v>
      </c>
      <c r="J99" s="67" t="s">
        <v>119</v>
      </c>
      <c r="K99" s="62"/>
    </row>
    <row r="100" spans="2:11" s="13" customFormat="1">
      <c r="B100" s="75"/>
      <c r="C100" s="102"/>
      <c r="D100" s="162"/>
      <c r="E100" s="6"/>
      <c r="F100" s="102"/>
      <c r="G100" s="102"/>
      <c r="H100" s="166"/>
      <c r="I100" s="102"/>
      <c r="J100" s="102"/>
      <c r="K100" s="102"/>
    </row>
    <row r="101" spans="2:11" s="13" customFormat="1">
      <c r="B101" s="82"/>
      <c r="C101" s="102"/>
      <c r="D101" s="102"/>
      <c r="E101" s="166"/>
      <c r="F101" s="102"/>
      <c r="G101" s="102"/>
      <c r="H101" s="166"/>
      <c r="I101" s="102"/>
      <c r="J101" s="102"/>
      <c r="K101" s="102"/>
    </row>
    <row r="102" spans="2:11" s="13" customFormat="1" ht="18">
      <c r="B102" s="78" t="s">
        <v>128</v>
      </c>
      <c r="C102" s="102" t="s">
        <v>24</v>
      </c>
      <c r="D102" s="162" t="s">
        <v>69</v>
      </c>
      <c r="E102" s="136">
        <v>1380000</v>
      </c>
      <c r="F102" s="102"/>
      <c r="G102" s="17" t="s">
        <v>26</v>
      </c>
      <c r="H102" s="61"/>
      <c r="I102" s="16" t="s">
        <v>129</v>
      </c>
      <c r="J102" s="20"/>
      <c r="K102" s="102"/>
    </row>
    <row r="103" spans="2:11" s="13" customFormat="1" ht="17.45">
      <c r="B103" s="75"/>
      <c r="C103" s="102" t="s">
        <v>28</v>
      </c>
      <c r="D103" s="162" t="s">
        <v>130</v>
      </c>
      <c r="E103" s="139">
        <v>0.08</v>
      </c>
      <c r="F103" s="102"/>
      <c r="G103" s="17"/>
      <c r="H103" s="18"/>
      <c r="I103" s="17"/>
      <c r="J103" s="102"/>
      <c r="K103" s="102"/>
    </row>
    <row r="104" spans="2:11" s="13" customFormat="1" ht="17.45">
      <c r="B104" s="75"/>
      <c r="C104" s="102" t="s">
        <v>28</v>
      </c>
      <c r="D104" s="162" t="s">
        <v>131</v>
      </c>
      <c r="E104" s="5">
        <f>E103/2</f>
        <v>0.04</v>
      </c>
      <c r="F104" s="102"/>
      <c r="G104" s="17"/>
      <c r="H104" s="18"/>
      <c r="I104" s="17"/>
      <c r="J104" s="102"/>
      <c r="K104" s="102"/>
    </row>
    <row r="105" spans="2:11" s="13" customFormat="1" ht="15.95" thickBot="1">
      <c r="B105" s="75"/>
      <c r="C105" s="102" t="s">
        <v>28</v>
      </c>
      <c r="D105" s="162" t="s">
        <v>132</v>
      </c>
      <c r="E105" s="5">
        <f>(1+E104)^2-1</f>
        <v>8.1600000000000117E-2</v>
      </c>
      <c r="F105" s="102"/>
      <c r="G105" s="17"/>
      <c r="H105" s="18"/>
      <c r="I105" s="17"/>
      <c r="J105" s="102"/>
      <c r="K105" s="102"/>
    </row>
    <row r="106" spans="2:11" s="13" customFormat="1" ht="18" thickBot="1">
      <c r="B106" s="75"/>
      <c r="C106" s="102" t="s">
        <v>28</v>
      </c>
      <c r="D106" s="162" t="s">
        <v>65</v>
      </c>
      <c r="E106" s="5">
        <f>(1+E105)^(1/12)-1</f>
        <v>6.5581969365593462E-3</v>
      </c>
      <c r="F106" s="102"/>
      <c r="G106" s="157" t="s">
        <v>133</v>
      </c>
      <c r="H106" s="158"/>
      <c r="I106" s="17"/>
      <c r="J106" s="102"/>
      <c r="K106" s="102"/>
    </row>
    <row r="107" spans="2:11" s="13" customFormat="1">
      <c r="B107" s="75"/>
      <c r="C107" s="102" t="s">
        <v>30</v>
      </c>
      <c r="D107" s="162" t="s">
        <v>31</v>
      </c>
      <c r="E107" s="58">
        <f>7*12+7</f>
        <v>91</v>
      </c>
      <c r="F107" s="102"/>
      <c r="G107" s="17"/>
      <c r="H107" s="18"/>
      <c r="I107" s="17"/>
      <c r="J107" s="102"/>
      <c r="K107" s="102"/>
    </row>
    <row r="108" spans="2:11" s="13" customFormat="1">
      <c r="B108" s="75"/>
      <c r="C108" s="102"/>
      <c r="D108" s="162"/>
      <c r="E108" s="12"/>
      <c r="F108" s="102"/>
      <c r="G108" s="17"/>
      <c r="H108" s="18"/>
      <c r="I108" s="17"/>
      <c r="J108" s="102"/>
      <c r="K108" s="102"/>
    </row>
    <row r="109" spans="2:11" s="13" customFormat="1">
      <c r="B109" s="75"/>
      <c r="C109" s="102"/>
      <c r="D109" s="162"/>
      <c r="E109" s="6"/>
      <c r="F109" s="102"/>
      <c r="G109" s="17"/>
      <c r="H109" s="18"/>
      <c r="I109" s="17"/>
      <c r="J109" s="102"/>
      <c r="K109" s="102"/>
    </row>
    <row r="110" spans="2:11" s="13" customFormat="1" ht="18">
      <c r="B110" s="78" t="s">
        <v>134</v>
      </c>
      <c r="C110" s="102" t="s">
        <v>24</v>
      </c>
      <c r="D110" s="162" t="s">
        <v>69</v>
      </c>
      <c r="E110" s="136">
        <v>46300</v>
      </c>
      <c r="F110" s="102"/>
      <c r="G110" s="17" t="s">
        <v>26</v>
      </c>
      <c r="H110" s="61"/>
      <c r="I110" s="16" t="s">
        <v>129</v>
      </c>
      <c r="J110" s="102"/>
      <c r="K110" s="102"/>
    </row>
    <row r="111" spans="2:11" s="13" customFormat="1">
      <c r="B111" s="75"/>
      <c r="C111" s="102"/>
      <c r="D111" s="41" t="s">
        <v>135</v>
      </c>
      <c r="E111" s="139">
        <v>2.5000000000000001E-2</v>
      </c>
      <c r="F111" s="102"/>
      <c r="G111" s="17"/>
      <c r="H111" s="18"/>
      <c r="I111" s="16" t="s">
        <v>136</v>
      </c>
      <c r="J111" s="102"/>
      <c r="K111" s="102"/>
    </row>
    <row r="112" spans="2:11" s="13" customFormat="1">
      <c r="B112" s="75"/>
      <c r="C112" s="102" t="s">
        <v>30</v>
      </c>
      <c r="D112" s="162" t="s">
        <v>31</v>
      </c>
      <c r="E112" s="148">
        <v>12</v>
      </c>
      <c r="F112" s="102"/>
      <c r="G112" s="17"/>
      <c r="H112" s="18"/>
      <c r="I112" s="17"/>
      <c r="J112" s="102"/>
      <c r="K112" s="102"/>
    </row>
    <row r="113" spans="2:9" s="13" customFormat="1">
      <c r="B113" s="75"/>
      <c r="C113" s="102"/>
      <c r="D113" s="162"/>
      <c r="E113" s="9"/>
      <c r="F113" s="102"/>
      <c r="G113" s="17"/>
      <c r="H113" s="18"/>
      <c r="I113" s="17"/>
    </row>
    <row r="114" spans="2:9" s="13" customFormat="1">
      <c r="B114" s="75"/>
      <c r="C114" s="102"/>
      <c r="D114" s="162"/>
      <c r="E114" s="6"/>
      <c r="F114" s="102"/>
      <c r="G114" s="17"/>
      <c r="H114" s="18"/>
      <c r="I114" s="17"/>
    </row>
    <row r="115" spans="2:9" s="13" customFormat="1" ht="17.45">
      <c r="B115" s="75"/>
      <c r="C115" s="102" t="s">
        <v>24</v>
      </c>
      <c r="D115" s="162" t="s">
        <v>25</v>
      </c>
      <c r="E115" s="135">
        <f>H110</f>
        <v>0</v>
      </c>
      <c r="F115" s="102"/>
      <c r="G115" s="17" t="s">
        <v>26</v>
      </c>
      <c r="H115" s="61"/>
      <c r="I115" s="16" t="s">
        <v>137</v>
      </c>
    </row>
    <row r="116" spans="2:9" s="13" customFormat="1">
      <c r="B116" s="75"/>
      <c r="C116" s="102" t="s">
        <v>28</v>
      </c>
      <c r="D116" s="162" t="s">
        <v>29</v>
      </c>
      <c r="E116" s="139">
        <v>0.05</v>
      </c>
      <c r="F116" s="102"/>
      <c r="G116" s="17"/>
      <c r="H116" s="18"/>
      <c r="I116" s="16" t="s">
        <v>138</v>
      </c>
    </row>
    <row r="117" spans="2:9" s="13" customFormat="1">
      <c r="B117" s="75"/>
      <c r="C117" s="102" t="s">
        <v>30</v>
      </c>
      <c r="D117" s="162" t="s">
        <v>31</v>
      </c>
      <c r="E117" s="148">
        <v>12</v>
      </c>
      <c r="F117" s="102"/>
      <c r="G117" s="17"/>
      <c r="H117" s="18"/>
      <c r="I117" s="17"/>
    </row>
    <row r="118" spans="2:9">
      <c r="B118" s="75"/>
      <c r="D118" s="1"/>
      <c r="E118" s="6"/>
      <c r="G118" s="21"/>
      <c r="H118" s="2"/>
      <c r="I118"/>
    </row>
    <row r="180" spans="2:9" s="13" customFormat="1">
      <c r="B180" s="75"/>
      <c r="C180" s="102"/>
      <c r="D180" s="102"/>
      <c r="E180" s="102"/>
      <c r="F180" s="102"/>
      <c r="G180" s="102"/>
      <c r="H180" s="19"/>
      <c r="I180" s="16"/>
    </row>
    <row r="181" spans="2:9" s="13" customFormat="1">
      <c r="B181" s="75"/>
      <c r="C181" s="102"/>
      <c r="D181" s="162"/>
      <c r="E181" s="5"/>
      <c r="F181" s="102"/>
      <c r="G181" s="102"/>
      <c r="H181" s="18"/>
      <c r="I181" s="16"/>
    </row>
    <row r="182" spans="2:9" s="13" customFormat="1">
      <c r="B182" s="75"/>
      <c r="C182" s="102"/>
      <c r="D182" s="162"/>
      <c r="E182" s="4"/>
      <c r="F182" s="102"/>
      <c r="G182" s="102"/>
      <c r="H182" s="18"/>
      <c r="I182" s="17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21"/>
  <sheetViews>
    <sheetView zoomScaleNormal="100" zoomScalePageLayoutView="150" workbookViewId="0"/>
  </sheetViews>
  <sheetFormatPr defaultColWidth="11.42578125" defaultRowHeight="14.45"/>
  <cols>
    <col min="1" max="1" width="7.140625" customWidth="1"/>
    <col min="2" max="2" width="12.140625" customWidth="1"/>
    <col min="3" max="3" width="15.140625" customWidth="1"/>
    <col min="4" max="4" width="9" customWidth="1"/>
    <col min="5" max="5" width="15.42578125" style="2" customWidth="1"/>
    <col min="6" max="6" width="3.85546875" customWidth="1"/>
    <col min="8" max="8" width="18" style="59" customWidth="1"/>
    <col min="9" max="9" width="11.42578125" style="21"/>
  </cols>
  <sheetData>
    <row r="1" spans="1:15" ht="23.45">
      <c r="A1" s="10" t="s">
        <v>139</v>
      </c>
      <c r="G1" s="8"/>
    </row>
    <row r="2" spans="1:15" ht="18.95" thickBot="1">
      <c r="G2" s="8"/>
    </row>
    <row r="3" spans="1:15" s="13" customFormat="1" ht="15.95" thickBot="1">
      <c r="A3" s="102"/>
      <c r="B3" s="78" t="s">
        <v>140</v>
      </c>
      <c r="C3" s="159" t="s">
        <v>141</v>
      </c>
      <c r="D3" s="164"/>
      <c r="E3" s="164"/>
      <c r="F3" s="164"/>
      <c r="G3" s="160" t="s">
        <v>142</v>
      </c>
      <c r="H3" s="161"/>
      <c r="I3" s="21"/>
      <c r="J3"/>
      <c r="K3"/>
      <c r="L3"/>
      <c r="M3"/>
      <c r="N3"/>
      <c r="O3"/>
    </row>
    <row r="4" spans="1:15" s="13" customFormat="1" ht="15.6">
      <c r="A4" s="102"/>
      <c r="B4" s="102"/>
      <c r="C4" s="22"/>
      <c r="D4" s="102"/>
      <c r="E4" s="166"/>
      <c r="F4" s="102"/>
      <c r="G4" s="102"/>
      <c r="H4" s="18"/>
      <c r="I4" s="17"/>
      <c r="J4" s="102"/>
      <c r="K4" s="102"/>
      <c r="L4" s="102"/>
      <c r="M4" s="102"/>
      <c r="N4" s="102"/>
      <c r="O4" s="102"/>
    </row>
    <row r="5" spans="1:15" s="13" customFormat="1" ht="15.6">
      <c r="A5" s="102"/>
      <c r="B5" s="75"/>
      <c r="C5" s="22" t="s">
        <v>143</v>
      </c>
      <c r="D5" s="102"/>
      <c r="E5" s="136">
        <v>6000</v>
      </c>
      <c r="F5" s="102"/>
      <c r="G5" s="102"/>
      <c r="H5" s="85"/>
      <c r="I5" s="16" t="s">
        <v>144</v>
      </c>
      <c r="J5" s="102"/>
      <c r="K5" s="102"/>
      <c r="L5" s="102"/>
      <c r="M5" s="102"/>
      <c r="N5" s="102"/>
      <c r="O5" s="102"/>
    </row>
    <row r="6" spans="1:15" s="13" customFormat="1" ht="18">
      <c r="A6" s="102"/>
      <c r="B6" s="75"/>
      <c r="C6" s="102" t="s">
        <v>24</v>
      </c>
      <c r="D6" s="162" t="s">
        <v>71</v>
      </c>
      <c r="E6" s="136">
        <v>8200</v>
      </c>
      <c r="F6" s="102"/>
      <c r="G6" s="102" t="s">
        <v>26</v>
      </c>
      <c r="H6" s="84"/>
      <c r="I6" s="16" t="s">
        <v>145</v>
      </c>
      <c r="J6" s="102"/>
      <c r="K6" s="102"/>
      <c r="L6" s="102"/>
      <c r="M6" s="102"/>
      <c r="N6" s="102"/>
      <c r="O6" s="102"/>
    </row>
    <row r="7" spans="1:15" s="13" customFormat="1" ht="15.6">
      <c r="A7" s="102"/>
      <c r="B7" s="75"/>
      <c r="C7" s="102" t="s">
        <v>30</v>
      </c>
      <c r="D7" s="162" t="s">
        <v>31</v>
      </c>
      <c r="E7" s="148">
        <v>1</v>
      </c>
      <c r="F7" s="102"/>
      <c r="G7" s="102"/>
      <c r="H7" s="18"/>
      <c r="I7" s="17"/>
      <c r="J7" s="102"/>
      <c r="K7" s="102"/>
      <c r="L7" s="102"/>
      <c r="M7" s="102"/>
      <c r="N7" s="102"/>
      <c r="O7" s="102"/>
    </row>
    <row r="8" spans="1:15" s="13" customFormat="1" ht="17.45">
      <c r="A8" s="102"/>
      <c r="B8" s="75"/>
      <c r="C8" s="102" t="s">
        <v>28</v>
      </c>
      <c r="D8" s="162" t="s">
        <v>146</v>
      </c>
      <c r="E8" s="139">
        <v>2.5499999999999998E-2</v>
      </c>
      <c r="F8" s="102"/>
      <c r="G8" s="102"/>
      <c r="H8" s="18"/>
      <c r="I8" s="17"/>
      <c r="J8" s="102"/>
      <c r="K8" s="102"/>
      <c r="L8" s="102"/>
      <c r="M8" s="102"/>
      <c r="N8" s="102"/>
      <c r="O8" s="102"/>
    </row>
    <row r="9" spans="1:15" s="13" customFormat="1" ht="15.6">
      <c r="A9" s="102"/>
      <c r="B9" s="75"/>
      <c r="C9" s="102" t="s">
        <v>28</v>
      </c>
      <c r="D9" s="162" t="s">
        <v>132</v>
      </c>
      <c r="E9" s="5">
        <f>(1+E8)^2-1</f>
        <v>5.1650250000000231E-2</v>
      </c>
      <c r="F9" s="102"/>
      <c r="G9" s="102"/>
      <c r="H9" s="18"/>
      <c r="I9" s="17"/>
      <c r="J9" s="102"/>
      <c r="K9" s="102"/>
      <c r="L9" s="102"/>
      <c r="M9" s="102"/>
      <c r="N9" s="102"/>
      <c r="O9" s="102"/>
    </row>
    <row r="10" spans="1:15" s="13" customFormat="1" ht="15.95" thickBot="1">
      <c r="A10" s="102"/>
      <c r="B10" s="75"/>
      <c r="C10" s="102"/>
      <c r="D10" s="162"/>
      <c r="E10" s="5"/>
      <c r="F10" s="102"/>
      <c r="G10" s="102"/>
      <c r="H10" s="18"/>
      <c r="I10" s="17"/>
      <c r="J10" s="102"/>
      <c r="K10" s="102"/>
      <c r="L10" s="102"/>
      <c r="M10" s="102"/>
      <c r="N10" s="102"/>
      <c r="O10" s="102"/>
    </row>
    <row r="11" spans="1:15" s="13" customFormat="1" ht="15.95" thickBot="1">
      <c r="A11" s="102"/>
      <c r="B11" s="75"/>
      <c r="C11" s="159" t="s">
        <v>147</v>
      </c>
      <c r="D11" s="164"/>
      <c r="E11" s="164"/>
      <c r="F11" s="164"/>
      <c r="G11" s="160" t="s">
        <v>142</v>
      </c>
      <c r="H11" s="161"/>
      <c r="I11" s="17"/>
      <c r="J11" s="102"/>
      <c r="K11" s="102"/>
      <c r="L11" s="102"/>
      <c r="M11" s="102"/>
      <c r="N11" s="102"/>
      <c r="O11" s="102"/>
    </row>
    <row r="12" spans="1:15" s="13" customFormat="1" ht="15.95" thickBot="1">
      <c r="A12" s="102"/>
      <c r="B12" s="75"/>
      <c r="C12" s="102"/>
      <c r="D12" s="102"/>
      <c r="E12" s="166"/>
      <c r="F12" s="102"/>
      <c r="G12" s="102"/>
      <c r="H12" s="18"/>
      <c r="I12" s="17"/>
      <c r="J12" s="102"/>
      <c r="K12" s="102"/>
      <c r="L12" s="102"/>
      <c r="M12" s="102"/>
      <c r="N12" s="102"/>
      <c r="O12" s="102"/>
    </row>
    <row r="13" spans="1:15" s="102" customFormat="1" ht="18.600000000000001" thickBot="1">
      <c r="B13" s="75"/>
      <c r="C13" s="102" t="s">
        <v>24</v>
      </c>
      <c r="D13" s="162" t="s">
        <v>71</v>
      </c>
      <c r="E13" s="136">
        <v>14691</v>
      </c>
      <c r="G13" s="82" t="s">
        <v>148</v>
      </c>
      <c r="H13" s="147"/>
    </row>
    <row r="14" spans="1:15" s="102" customFormat="1" ht="17.45">
      <c r="B14" s="75"/>
      <c r="C14" s="102" t="s">
        <v>28</v>
      </c>
      <c r="D14" s="162" t="s">
        <v>146</v>
      </c>
      <c r="E14" s="139">
        <f>E8</f>
        <v>2.5499999999999998E-2</v>
      </c>
      <c r="H14" s="19"/>
      <c r="I14" s="16"/>
    </row>
    <row r="15" spans="1:15" s="102" customFormat="1" ht="15.6">
      <c r="B15" s="75"/>
    </row>
    <row r="16" spans="1:15" s="102" customFormat="1" ht="15.6">
      <c r="B16" s="75"/>
      <c r="C16" s="102" t="s">
        <v>149</v>
      </c>
      <c r="D16" s="162" t="s">
        <v>31</v>
      </c>
      <c r="E16" s="150">
        <v>1</v>
      </c>
      <c r="G16" s="102" t="s">
        <v>26</v>
      </c>
      <c r="H16" s="83"/>
      <c r="I16" s="16" t="s">
        <v>150</v>
      </c>
    </row>
    <row r="17" spans="2:11" s="102" customFormat="1" ht="15.6">
      <c r="B17" s="75"/>
      <c r="D17" s="162"/>
      <c r="E17" s="5"/>
      <c r="H17" s="18"/>
      <c r="I17" s="17"/>
    </row>
    <row r="18" spans="2:11" s="102" customFormat="1" ht="15.6">
      <c r="B18" s="75"/>
      <c r="C18" s="102" t="s">
        <v>151</v>
      </c>
      <c r="D18" s="162" t="s">
        <v>31</v>
      </c>
      <c r="E18" s="150">
        <v>2</v>
      </c>
      <c r="G18" s="102" t="s">
        <v>26</v>
      </c>
      <c r="H18" s="83"/>
      <c r="I18" s="16" t="s">
        <v>152</v>
      </c>
    </row>
    <row r="19" spans="2:11" s="102" customFormat="1" ht="15.6">
      <c r="B19" s="75"/>
      <c r="D19" s="162"/>
      <c r="E19" s="5"/>
      <c r="H19" s="18"/>
      <c r="I19" s="17"/>
    </row>
    <row r="20" spans="2:11" s="102" customFormat="1" ht="15.6">
      <c r="B20" s="75"/>
      <c r="C20" s="102" t="s">
        <v>153</v>
      </c>
      <c r="D20" s="162" t="s">
        <v>31</v>
      </c>
      <c r="E20" s="150">
        <v>3</v>
      </c>
      <c r="G20" s="102" t="s">
        <v>26</v>
      </c>
      <c r="H20" s="83"/>
      <c r="I20" s="16" t="s">
        <v>154</v>
      </c>
    </row>
    <row r="21" spans="2:11" s="13" customFormat="1" ht="15.6">
      <c r="B21" s="75"/>
      <c r="C21" s="102"/>
      <c r="D21" s="162"/>
      <c r="E21" s="5"/>
      <c r="F21" s="102"/>
      <c r="G21" s="102"/>
      <c r="H21" s="18"/>
      <c r="I21" s="17"/>
      <c r="J21" s="102"/>
      <c r="K21" s="102"/>
    </row>
    <row r="22" spans="2:11" s="13" customFormat="1" ht="15.95" thickBot="1">
      <c r="B22" s="75"/>
      <c r="C22" s="102"/>
      <c r="D22" s="162"/>
      <c r="E22" s="5"/>
      <c r="F22" s="102"/>
      <c r="G22" s="102"/>
      <c r="H22" s="18"/>
      <c r="I22" s="17"/>
      <c r="J22" s="102"/>
      <c r="K22" s="102"/>
    </row>
    <row r="23" spans="2:11" s="102" customFormat="1" ht="15.95" thickBot="1">
      <c r="B23" s="78" t="s">
        <v>155</v>
      </c>
      <c r="C23" s="159" t="s">
        <v>141</v>
      </c>
      <c r="D23" s="163"/>
      <c r="E23" s="164"/>
      <c r="F23" s="164"/>
      <c r="G23" s="165" t="s">
        <v>142</v>
      </c>
      <c r="H23" s="161"/>
      <c r="I23" s="15" t="s">
        <v>156</v>
      </c>
      <c r="J23" s="15"/>
      <c r="K23" s="5"/>
    </row>
    <row r="24" spans="2:11" s="102" customFormat="1" ht="15.6">
      <c r="B24" s="75"/>
      <c r="C24" s="22"/>
      <c r="E24" s="166"/>
      <c r="H24" s="18"/>
      <c r="I24" s="16"/>
    </row>
    <row r="25" spans="2:11" s="102" customFormat="1" ht="15.6">
      <c r="C25" s="82" t="s">
        <v>157</v>
      </c>
      <c r="D25" s="162"/>
      <c r="E25" s="136">
        <v>125000</v>
      </c>
      <c r="I25" s="17"/>
    </row>
    <row r="26" spans="2:11" s="102" customFormat="1" ht="17.45">
      <c r="B26" s="75"/>
      <c r="C26" s="82" t="s">
        <v>28</v>
      </c>
      <c r="D26" s="162" t="s">
        <v>146</v>
      </c>
      <c r="E26" s="139">
        <v>1.4999999999999999E-2</v>
      </c>
    </row>
    <row r="27" spans="2:11" s="102" customFormat="1" ht="15.6">
      <c r="B27" s="75"/>
      <c r="C27" s="82"/>
    </row>
    <row r="28" spans="2:11" s="102" customFormat="1" ht="15.6">
      <c r="B28" s="75" t="s">
        <v>158</v>
      </c>
      <c r="C28" s="17" t="s">
        <v>159</v>
      </c>
      <c r="E28" s="65"/>
      <c r="H28" s="83"/>
      <c r="I28" s="17"/>
    </row>
    <row r="29" spans="2:11" s="102" customFormat="1" ht="15.6">
      <c r="B29" s="75"/>
      <c r="C29" s="82"/>
      <c r="H29" s="18"/>
      <c r="I29" s="17"/>
    </row>
    <row r="30" spans="2:11" s="102" customFormat="1" ht="15.6">
      <c r="B30" s="75" t="s">
        <v>160</v>
      </c>
      <c r="C30" s="167" t="s">
        <v>161</v>
      </c>
      <c r="D30" s="162" t="s">
        <v>31</v>
      </c>
      <c r="E30" s="148">
        <v>2</v>
      </c>
      <c r="G30" s="102" t="s">
        <v>26</v>
      </c>
      <c r="H30" s="83"/>
      <c r="I30" s="16" t="s">
        <v>162</v>
      </c>
    </row>
    <row r="31" spans="2:11" s="102" customFormat="1" ht="15.6">
      <c r="B31" s="75"/>
      <c r="C31" s="167"/>
      <c r="D31" s="82" t="s">
        <v>163</v>
      </c>
      <c r="E31" s="168"/>
      <c r="H31" s="18"/>
      <c r="I31" s="17"/>
    </row>
    <row r="32" spans="2:11" s="102" customFormat="1" ht="15.6">
      <c r="B32" s="75"/>
      <c r="C32" s="167"/>
      <c r="E32" s="162"/>
      <c r="H32" s="18"/>
      <c r="I32" s="17"/>
    </row>
    <row r="33" spans="2:9" s="102" customFormat="1" ht="15.6">
      <c r="B33" s="75" t="s">
        <v>164</v>
      </c>
      <c r="C33" s="167" t="s">
        <v>161</v>
      </c>
      <c r="D33" s="162" t="s">
        <v>31</v>
      </c>
      <c r="E33" s="148">
        <v>4</v>
      </c>
      <c r="G33" s="102" t="s">
        <v>26</v>
      </c>
      <c r="H33" s="83"/>
      <c r="I33" s="16" t="s">
        <v>165</v>
      </c>
    </row>
    <row r="34" spans="2:9" s="102" customFormat="1" ht="15.6">
      <c r="B34" s="75"/>
      <c r="C34" s="167"/>
      <c r="D34" s="82" t="s">
        <v>163</v>
      </c>
      <c r="E34" s="168"/>
      <c r="H34" s="18"/>
      <c r="I34" s="17"/>
    </row>
    <row r="35" spans="2:9" s="102" customFormat="1" ht="15.6">
      <c r="B35" s="75"/>
      <c r="C35" s="167"/>
      <c r="D35" s="162"/>
      <c r="E35" s="5"/>
      <c r="H35" s="18"/>
      <c r="I35" s="17"/>
    </row>
    <row r="36" spans="2:9" s="102" customFormat="1" ht="15.6">
      <c r="B36" s="75" t="s">
        <v>166</v>
      </c>
      <c r="C36" s="167" t="s">
        <v>161</v>
      </c>
      <c r="D36" s="162" t="s">
        <v>31</v>
      </c>
      <c r="E36" s="148">
        <v>6</v>
      </c>
      <c r="G36" s="102" t="s">
        <v>26</v>
      </c>
      <c r="H36" s="83"/>
      <c r="I36" s="16" t="s">
        <v>167</v>
      </c>
    </row>
    <row r="37" spans="2:9" s="102" customFormat="1" ht="15.6">
      <c r="B37" s="75"/>
      <c r="C37" s="167"/>
      <c r="D37" s="82" t="s">
        <v>163</v>
      </c>
      <c r="E37" s="168"/>
      <c r="H37" s="18"/>
      <c r="I37" s="17"/>
    </row>
    <row r="38" spans="2:9" s="102" customFormat="1" ht="15.6">
      <c r="B38" s="75"/>
      <c r="D38" s="162"/>
      <c r="E38" s="5"/>
      <c r="H38" s="18"/>
      <c r="I38" s="17"/>
    </row>
    <row r="39" spans="2:9" s="102" customFormat="1" ht="15.95" thickBot="1">
      <c r="B39" s="75"/>
      <c r="D39" s="162"/>
      <c r="E39" s="5"/>
      <c r="H39" s="18"/>
      <c r="I39" s="17"/>
    </row>
    <row r="40" spans="2:9" s="102" customFormat="1" ht="15.95" thickBot="1">
      <c r="B40" s="75"/>
      <c r="C40" s="159" t="s">
        <v>147</v>
      </c>
      <c r="D40" s="163"/>
      <c r="E40" s="164"/>
      <c r="F40" s="163"/>
      <c r="G40" s="165" t="s">
        <v>142</v>
      </c>
      <c r="H40" s="161"/>
      <c r="I40" s="17"/>
    </row>
    <row r="41" spans="2:9" s="102" customFormat="1" ht="15.6">
      <c r="B41" s="75"/>
      <c r="C41" s="22"/>
      <c r="E41" s="3"/>
      <c r="H41" s="69"/>
      <c r="I41" s="17"/>
    </row>
    <row r="42" spans="2:9" s="102" customFormat="1" ht="15.6">
      <c r="B42" s="75" t="s">
        <v>158</v>
      </c>
      <c r="C42" s="17" t="s">
        <v>159</v>
      </c>
      <c r="E42" s="136">
        <v>240000</v>
      </c>
      <c r="H42" s="83"/>
      <c r="I42" s="17"/>
    </row>
    <row r="43" spans="2:9" s="102" customFormat="1" ht="15.6">
      <c r="B43" s="75"/>
      <c r="C43" s="22"/>
      <c r="E43" s="3"/>
      <c r="H43" s="69"/>
      <c r="I43" s="17"/>
    </row>
    <row r="44" spans="2:9" s="102" customFormat="1" ht="18">
      <c r="B44" s="75" t="s">
        <v>160</v>
      </c>
      <c r="C44" s="102" t="s">
        <v>161</v>
      </c>
      <c r="D44" s="162" t="s">
        <v>71</v>
      </c>
      <c r="E44" s="136">
        <v>250000</v>
      </c>
      <c r="G44" s="102" t="s">
        <v>26</v>
      </c>
      <c r="H44" s="83"/>
      <c r="I44" s="16" t="s">
        <v>168</v>
      </c>
    </row>
    <row r="45" spans="2:9" s="102" customFormat="1" ht="15.6">
      <c r="B45" s="75"/>
      <c r="C45" s="102" t="s">
        <v>30</v>
      </c>
      <c r="D45" s="162" t="s">
        <v>31</v>
      </c>
      <c r="E45" s="148">
        <v>4</v>
      </c>
      <c r="H45" s="18"/>
      <c r="I45" s="17"/>
    </row>
    <row r="46" spans="2:9" s="102" customFormat="1" ht="15.6">
      <c r="B46" s="75"/>
      <c r="C46" s="102" t="s">
        <v>28</v>
      </c>
      <c r="D46" s="162" t="s">
        <v>29</v>
      </c>
      <c r="E46" s="139">
        <v>2.9000000000000001E-2</v>
      </c>
      <c r="H46" s="18"/>
      <c r="I46" s="17"/>
    </row>
    <row r="47" spans="2:9" s="13" customFormat="1" ht="15.6">
      <c r="B47" s="75"/>
      <c r="C47" s="102"/>
      <c r="D47" s="162"/>
      <c r="E47" s="5"/>
      <c r="F47" s="102"/>
      <c r="G47" s="102"/>
      <c r="H47" s="18"/>
      <c r="I47" s="17"/>
    </row>
    <row r="48" spans="2:9" ht="15.6">
      <c r="B48" s="82"/>
    </row>
    <row r="49" spans="2:9" s="102" customFormat="1" ht="15.6">
      <c r="B49" s="78" t="s">
        <v>169</v>
      </c>
      <c r="C49" s="102" t="s">
        <v>28</v>
      </c>
      <c r="D49" s="162" t="s">
        <v>29</v>
      </c>
      <c r="E49" s="138">
        <v>0.05</v>
      </c>
      <c r="G49" s="102" t="s">
        <v>170</v>
      </c>
      <c r="H49" s="169"/>
      <c r="I49" s="102" t="s">
        <v>171</v>
      </c>
    </row>
    <row r="50" spans="2:9" s="102" customFormat="1" ht="15.6">
      <c r="B50" s="75"/>
      <c r="H50" s="170"/>
      <c r="I50" s="16"/>
    </row>
    <row r="51" spans="2:9" s="102" customFormat="1" ht="18">
      <c r="B51" s="75"/>
      <c r="C51" s="102" t="s">
        <v>24</v>
      </c>
      <c r="D51" s="162" t="s">
        <v>71</v>
      </c>
      <c r="E51" s="136">
        <v>200000</v>
      </c>
    </row>
    <row r="52" spans="2:9" s="102" customFormat="1" ht="15.6">
      <c r="B52" s="75"/>
      <c r="C52" s="102" t="s">
        <v>30</v>
      </c>
      <c r="D52" s="162" t="s">
        <v>31</v>
      </c>
      <c r="E52" s="137">
        <v>45</v>
      </c>
      <c r="G52" s="102" t="s">
        <v>26</v>
      </c>
      <c r="H52" s="19"/>
      <c r="I52" s="16" t="s">
        <v>172</v>
      </c>
    </row>
    <row r="53" spans="2:9" s="102" customFormat="1" ht="15.6">
      <c r="B53" s="75"/>
      <c r="E53" s="166"/>
      <c r="H53" s="18"/>
      <c r="I53" s="17"/>
    </row>
    <row r="54" spans="2:9" s="102" customFormat="1" ht="18">
      <c r="B54" s="75"/>
      <c r="C54" s="102" t="s">
        <v>24</v>
      </c>
      <c r="D54" s="162" t="s">
        <v>71</v>
      </c>
      <c r="E54" s="136">
        <v>300000</v>
      </c>
    </row>
    <row r="55" spans="2:9" s="102" customFormat="1" ht="15.6">
      <c r="B55" s="75"/>
      <c r="C55" s="102" t="s">
        <v>30</v>
      </c>
      <c r="D55" s="162" t="s">
        <v>31</v>
      </c>
      <c r="E55" s="137">
        <v>90</v>
      </c>
      <c r="G55" s="102" t="s">
        <v>26</v>
      </c>
      <c r="H55" s="19"/>
      <c r="I55" s="16" t="s">
        <v>173</v>
      </c>
    </row>
    <row r="56" spans="2:9" s="102" customFormat="1" ht="15.6">
      <c r="B56" s="75"/>
      <c r="D56" s="162"/>
      <c r="E56" s="4"/>
      <c r="H56" s="18"/>
      <c r="I56" s="17"/>
    </row>
    <row r="57" spans="2:9" s="102" customFormat="1" ht="18">
      <c r="B57" s="75"/>
      <c r="C57" s="102" t="s">
        <v>24</v>
      </c>
      <c r="D57" s="162" t="s">
        <v>71</v>
      </c>
      <c r="E57" s="136">
        <v>400000</v>
      </c>
    </row>
    <row r="58" spans="2:9" s="102" customFormat="1" ht="15.6">
      <c r="B58" s="75"/>
      <c r="C58" s="102" t="s">
        <v>30</v>
      </c>
      <c r="D58" s="162" t="s">
        <v>31</v>
      </c>
      <c r="E58" s="137">
        <v>120</v>
      </c>
      <c r="G58" s="102" t="s">
        <v>26</v>
      </c>
      <c r="H58" s="19"/>
      <c r="I58" s="16" t="s">
        <v>174</v>
      </c>
    </row>
    <row r="59" spans="2:9" s="102" customFormat="1" ht="15.6">
      <c r="B59" s="75"/>
      <c r="H59" s="18"/>
      <c r="I59" s="17"/>
    </row>
    <row r="60" spans="2:9" s="102" customFormat="1" ht="15.6">
      <c r="B60" s="75"/>
      <c r="D60" s="14"/>
      <c r="E60" s="14"/>
      <c r="F60" s="14"/>
      <c r="G60" s="75" t="s">
        <v>175</v>
      </c>
      <c r="H60" s="61"/>
      <c r="I60" s="16"/>
    </row>
    <row r="61" spans="2:9" s="102" customFormat="1" ht="15.6">
      <c r="B61" s="75"/>
      <c r="D61" s="162"/>
      <c r="E61" s="5"/>
      <c r="H61" s="18"/>
      <c r="I61" s="16"/>
    </row>
    <row r="62" spans="2:9" s="102" customFormat="1" ht="17.45">
      <c r="B62" s="75"/>
      <c r="C62" s="102" t="s">
        <v>30</v>
      </c>
      <c r="D62" s="162" t="s">
        <v>31</v>
      </c>
      <c r="E62" s="137">
        <v>60</v>
      </c>
      <c r="G62" s="102" t="s">
        <v>26</v>
      </c>
      <c r="H62" s="61"/>
      <c r="I62" s="16" t="s">
        <v>176</v>
      </c>
    </row>
    <row r="63" spans="2:9" ht="14.45" customHeight="1">
      <c r="G63" s="8"/>
    </row>
    <row r="64" spans="2:9" ht="14.45" customHeight="1">
      <c r="G64" s="8"/>
    </row>
    <row r="65" spans="2:11" ht="14.45" customHeight="1">
      <c r="B65" s="78" t="s">
        <v>177</v>
      </c>
      <c r="G65" s="8"/>
    </row>
    <row r="66" spans="2:11" s="102" customFormat="1" ht="18">
      <c r="B66" s="76" t="s">
        <v>178</v>
      </c>
      <c r="C66" s="102" t="s">
        <v>24</v>
      </c>
      <c r="D66" s="162" t="s">
        <v>71</v>
      </c>
      <c r="E66" s="136">
        <v>2088</v>
      </c>
      <c r="G66" s="102" t="s">
        <v>26</v>
      </c>
      <c r="H66" s="61"/>
      <c r="I66" s="16" t="s">
        <v>179</v>
      </c>
    </row>
    <row r="67" spans="2:11" s="102" customFormat="1" ht="15.6">
      <c r="B67" s="14"/>
      <c r="C67" s="102" t="s">
        <v>180</v>
      </c>
      <c r="D67" s="162" t="s">
        <v>161</v>
      </c>
      <c r="E67" s="171">
        <v>44772</v>
      </c>
      <c r="H67" s="19"/>
      <c r="I67" s="16"/>
    </row>
    <row r="68" spans="2:11" s="102" customFormat="1" ht="15.6">
      <c r="B68" s="14"/>
      <c r="C68" s="102" t="s">
        <v>180</v>
      </c>
      <c r="D68" s="162" t="s">
        <v>18</v>
      </c>
      <c r="E68" s="172"/>
      <c r="F68" s="20"/>
      <c r="H68" s="19"/>
      <c r="I68" s="16"/>
    </row>
    <row r="69" spans="2:11" s="102" customFormat="1" ht="15.6">
      <c r="B69" s="14"/>
      <c r="C69" s="102" t="s">
        <v>28</v>
      </c>
      <c r="D69" s="162" t="s">
        <v>29</v>
      </c>
      <c r="E69" s="138">
        <v>0.04</v>
      </c>
      <c r="H69" s="170"/>
      <c r="I69" s="16"/>
    </row>
    <row r="70" spans="2:11" s="102" customFormat="1" ht="15.6">
      <c r="B70" s="14"/>
      <c r="C70" s="102" t="s">
        <v>30</v>
      </c>
      <c r="D70" s="162" t="s">
        <v>31</v>
      </c>
      <c r="E70" s="173"/>
      <c r="H70" s="18"/>
      <c r="I70" s="17"/>
    </row>
    <row r="71" spans="2:11" s="102" customFormat="1" ht="15.6">
      <c r="B71" s="14"/>
      <c r="D71" s="162"/>
      <c r="E71" s="6"/>
      <c r="H71" s="18"/>
      <c r="I71" s="17"/>
    </row>
    <row r="72" spans="2:11" s="102" customFormat="1" ht="15.6">
      <c r="B72" s="76" t="s">
        <v>181</v>
      </c>
      <c r="C72" s="102" t="s">
        <v>182</v>
      </c>
      <c r="D72" s="162"/>
      <c r="E72" s="72"/>
      <c r="F72" s="174"/>
      <c r="G72" s="174"/>
      <c r="H72" s="61"/>
      <c r="I72" s="68"/>
      <c r="J72" s="174"/>
      <c r="K72" s="174"/>
    </row>
    <row r="73" spans="2:11" s="102" customFormat="1" ht="15.6">
      <c r="B73" s="14"/>
      <c r="C73" s="102" t="s">
        <v>183</v>
      </c>
      <c r="D73" s="162"/>
      <c r="E73" s="73"/>
      <c r="F73" s="174"/>
      <c r="G73" s="174"/>
      <c r="H73" s="71"/>
      <c r="I73" s="70"/>
      <c r="J73" s="174"/>
      <c r="K73" s="174"/>
    </row>
    <row r="74" spans="2:11" s="102" customFormat="1" ht="15.6">
      <c r="B74" s="14"/>
      <c r="C74" s="102" t="s">
        <v>184</v>
      </c>
      <c r="D74" s="162"/>
      <c r="E74" s="74"/>
      <c r="F74" s="174"/>
      <c r="G74" s="174"/>
      <c r="H74" s="71"/>
      <c r="I74" s="70"/>
      <c r="J74" s="174"/>
      <c r="K74" s="174"/>
    </row>
    <row r="75" spans="2:11" s="102" customFormat="1" ht="15.6">
      <c r="B75" s="14"/>
      <c r="D75" s="162"/>
      <c r="E75" s="175"/>
      <c r="H75" s="18"/>
      <c r="I75" s="17"/>
    </row>
    <row r="76" spans="2:11" s="102" customFormat="1" ht="15.6">
      <c r="B76" s="76" t="s">
        <v>185</v>
      </c>
      <c r="C76" s="102" t="s">
        <v>186</v>
      </c>
      <c r="D76" s="162" t="s">
        <v>187</v>
      </c>
      <c r="E76" s="138">
        <v>0.01</v>
      </c>
      <c r="G76" s="102" t="s">
        <v>26</v>
      </c>
      <c r="H76" s="61"/>
      <c r="I76" s="16" t="s">
        <v>188</v>
      </c>
    </row>
    <row r="77" spans="2:11" s="102" customFormat="1" ht="15.6">
      <c r="B77" s="14"/>
      <c r="H77" s="18"/>
      <c r="I77" s="17"/>
    </row>
    <row r="78" spans="2:11" s="102" customFormat="1" ht="15.6">
      <c r="B78" s="14"/>
      <c r="D78" s="162"/>
      <c r="E78" s="5"/>
      <c r="H78" s="18"/>
      <c r="I78" s="16"/>
    </row>
    <row r="79" spans="2:11" s="102" customFormat="1" ht="15.6">
      <c r="B79" s="76" t="s">
        <v>189</v>
      </c>
      <c r="C79" s="102" t="s">
        <v>83</v>
      </c>
      <c r="D79" s="162"/>
      <c r="E79" s="176"/>
      <c r="G79" s="102" t="s">
        <v>26</v>
      </c>
      <c r="H79" s="61"/>
      <c r="I79" s="16" t="s">
        <v>190</v>
      </c>
    </row>
    <row r="80" spans="2:11" s="102" customFormat="1" ht="15.6">
      <c r="B80" s="14"/>
      <c r="C80" s="102" t="s">
        <v>191</v>
      </c>
      <c r="D80" s="162"/>
      <c r="E80" s="176">
        <f>E76*E66</f>
        <v>20.88</v>
      </c>
      <c r="H80" s="18"/>
      <c r="I80" s="17"/>
    </row>
    <row r="81" spans="2:9" s="13" customFormat="1" ht="15.6">
      <c r="B81" s="14"/>
      <c r="C81" s="102"/>
      <c r="D81" s="162"/>
      <c r="E81" s="4"/>
      <c r="F81" s="102"/>
      <c r="G81" s="102"/>
      <c r="H81" s="18"/>
      <c r="I81" s="17"/>
    </row>
    <row r="82" spans="2:9" s="13" customFormat="1" ht="15.6">
      <c r="B82" s="14"/>
      <c r="C82" s="102"/>
      <c r="D82" s="162"/>
      <c r="E82" s="4"/>
      <c r="F82" s="102"/>
      <c r="G82" s="102"/>
      <c r="H82" s="18"/>
      <c r="I82" s="17"/>
    </row>
    <row r="83" spans="2:9" ht="18.600000000000001">
      <c r="B83" s="78" t="s">
        <v>192</v>
      </c>
      <c r="C83" s="177" t="s">
        <v>193</v>
      </c>
      <c r="G83" s="8"/>
      <c r="H83" s="2"/>
      <c r="I83"/>
    </row>
    <row r="84" spans="2:9" s="102" customFormat="1" ht="18">
      <c r="C84" s="102" t="s">
        <v>24</v>
      </c>
      <c r="D84" s="162" t="s">
        <v>69</v>
      </c>
      <c r="E84" s="136">
        <v>1000</v>
      </c>
    </row>
    <row r="85" spans="2:9" s="102" customFormat="1" ht="15.6">
      <c r="B85" s="14"/>
      <c r="C85" s="102" t="s">
        <v>24</v>
      </c>
      <c r="D85" s="162" t="s">
        <v>29</v>
      </c>
      <c r="E85" s="138">
        <v>0.02</v>
      </c>
      <c r="H85" s="170"/>
      <c r="I85" s="16"/>
    </row>
    <row r="86" spans="2:9" s="102" customFormat="1" ht="17.45">
      <c r="B86" s="14"/>
      <c r="C86" s="102" t="s">
        <v>30</v>
      </c>
      <c r="D86" s="162" t="s">
        <v>31</v>
      </c>
      <c r="E86" s="148">
        <v>7</v>
      </c>
      <c r="G86" s="102" t="s">
        <v>26</v>
      </c>
      <c r="H86" s="61"/>
      <c r="I86" s="16" t="s">
        <v>194</v>
      </c>
    </row>
    <row r="87" spans="2:9" s="102" customFormat="1" ht="15.6">
      <c r="B87" s="14"/>
      <c r="D87" s="162"/>
      <c r="E87" s="9"/>
      <c r="H87" s="18"/>
      <c r="I87" s="17"/>
    </row>
    <row r="88" spans="2:9" s="102" customFormat="1" ht="18.600000000000001">
      <c r="B88" s="14"/>
      <c r="C88" s="177" t="s">
        <v>147</v>
      </c>
      <c r="D88"/>
      <c r="E88" s="2"/>
      <c r="F88"/>
      <c r="G88" s="8"/>
      <c r="H88" s="59"/>
      <c r="I88" s="21"/>
    </row>
    <row r="89" spans="2:9" s="102" customFormat="1" ht="18">
      <c r="B89" s="14"/>
      <c r="C89" s="102" t="s">
        <v>24</v>
      </c>
      <c r="D89" s="162" t="s">
        <v>69</v>
      </c>
      <c r="E89" s="136">
        <v>1000</v>
      </c>
    </row>
    <row r="90" spans="2:9" s="102" customFormat="1" ht="15.6">
      <c r="B90" s="14"/>
      <c r="C90" s="102" t="s">
        <v>24</v>
      </c>
      <c r="D90" s="162" t="s">
        <v>29</v>
      </c>
      <c r="E90" s="138">
        <v>0.02</v>
      </c>
      <c r="H90" s="170"/>
      <c r="I90" s="16"/>
    </row>
    <row r="91" spans="2:9" s="102" customFormat="1" ht="17.45">
      <c r="B91" s="14"/>
      <c r="C91" s="102" t="s">
        <v>30</v>
      </c>
      <c r="D91" s="162" t="s">
        <v>31</v>
      </c>
      <c r="E91" s="148">
        <v>5</v>
      </c>
      <c r="G91" s="102" t="s">
        <v>26</v>
      </c>
      <c r="H91" s="61"/>
      <c r="I91" s="16" t="s">
        <v>195</v>
      </c>
    </row>
    <row r="92" spans="2:9" s="102" customFormat="1" ht="15.6">
      <c r="B92" s="14"/>
      <c r="D92" s="162"/>
      <c r="E92" s="9"/>
      <c r="H92" s="18"/>
      <c r="I92" s="17"/>
    </row>
    <row r="93" spans="2:9" s="102" customFormat="1" ht="17.45">
      <c r="B93" s="14"/>
      <c r="C93" s="102" t="s">
        <v>30</v>
      </c>
      <c r="D93" s="162" t="s">
        <v>31</v>
      </c>
      <c r="E93" s="148">
        <v>2</v>
      </c>
      <c r="G93" s="102" t="s">
        <v>26</v>
      </c>
      <c r="H93" s="61"/>
      <c r="I93" s="16" t="s">
        <v>196</v>
      </c>
    </row>
    <row r="94" spans="2:9" s="102" customFormat="1" ht="15.6">
      <c r="B94" s="14"/>
      <c r="H94" s="170"/>
      <c r="I94" s="16" t="s">
        <v>197</v>
      </c>
    </row>
    <row r="95" spans="2:9" s="102" customFormat="1" ht="15.6">
      <c r="B95" s="14"/>
      <c r="D95" s="162"/>
      <c r="E95" s="9"/>
      <c r="H95" s="18"/>
      <c r="I95" s="17"/>
    </row>
    <row r="96" spans="2:9" s="102" customFormat="1" ht="15.6">
      <c r="B96" s="78" t="s">
        <v>198</v>
      </c>
      <c r="E96" s="166"/>
      <c r="H96" s="18"/>
      <c r="I96" s="17"/>
    </row>
    <row r="97" spans="1:10" s="102" customFormat="1" ht="18.600000000000001">
      <c r="B97" s="75" t="s">
        <v>178</v>
      </c>
      <c r="C97" s="14" t="s">
        <v>199</v>
      </c>
      <c r="D97"/>
      <c r="E97" s="2"/>
      <c r="F97"/>
      <c r="G97" s="8"/>
      <c r="H97" s="59"/>
      <c r="I97" s="21"/>
      <c r="J97"/>
    </row>
    <row r="98" spans="1:10" s="102" customFormat="1" ht="18.600000000000001">
      <c r="A98"/>
      <c r="B98"/>
      <c r="C98" s="177" t="s">
        <v>193</v>
      </c>
      <c r="D98"/>
      <c r="E98" s="2"/>
      <c r="F98"/>
      <c r="G98" s="8"/>
      <c r="H98" s="59"/>
      <c r="I98" s="21"/>
      <c r="J98"/>
    </row>
    <row r="99" spans="1:10" s="102" customFormat="1" ht="18">
      <c r="C99" s="102" t="s">
        <v>24</v>
      </c>
      <c r="D99" s="162" t="s">
        <v>71</v>
      </c>
      <c r="E99" s="136">
        <v>1000</v>
      </c>
    </row>
    <row r="100" spans="1:10" s="102" customFormat="1" ht="15.6">
      <c r="B100" s="14"/>
      <c r="C100" s="102" t="s">
        <v>24</v>
      </c>
      <c r="D100" s="162" t="s">
        <v>29</v>
      </c>
      <c r="E100" s="138">
        <v>0.02</v>
      </c>
      <c r="H100" s="170"/>
      <c r="I100" s="16"/>
    </row>
    <row r="101" spans="1:10" s="102" customFormat="1" ht="17.45">
      <c r="B101" s="14"/>
      <c r="C101" s="102" t="s">
        <v>30</v>
      </c>
      <c r="D101" s="162" t="s">
        <v>31</v>
      </c>
      <c r="E101" s="148">
        <v>7</v>
      </c>
      <c r="G101" s="102" t="s">
        <v>26</v>
      </c>
      <c r="H101" s="61"/>
      <c r="I101" s="16" t="s">
        <v>200</v>
      </c>
    </row>
    <row r="102" spans="1:10" s="102" customFormat="1" ht="15.6">
      <c r="B102" s="14"/>
      <c r="D102" s="162"/>
      <c r="E102" s="9"/>
      <c r="H102" s="18"/>
      <c r="I102" s="17"/>
    </row>
    <row r="103" spans="1:10" s="102" customFormat="1" ht="18.600000000000001">
      <c r="B103" s="75" t="s">
        <v>181</v>
      </c>
      <c r="C103" s="177" t="s">
        <v>147</v>
      </c>
      <c r="D103"/>
      <c r="E103" s="2"/>
      <c r="F103"/>
      <c r="G103" s="8"/>
      <c r="H103" s="59"/>
      <c r="I103" s="21"/>
    </row>
    <row r="104" spans="1:10" s="102" customFormat="1" ht="17.45">
      <c r="B104" s="14"/>
      <c r="C104" s="102" t="s">
        <v>30</v>
      </c>
      <c r="D104" s="162" t="s">
        <v>31</v>
      </c>
      <c r="E104" s="148">
        <v>2</v>
      </c>
      <c r="G104" s="102" t="s">
        <v>26</v>
      </c>
      <c r="H104" s="83"/>
      <c r="I104" s="16" t="s">
        <v>201</v>
      </c>
    </row>
    <row r="105" spans="1:10" s="102" customFormat="1" ht="15.6">
      <c r="B105" s="14"/>
      <c r="D105" s="162"/>
      <c r="E105" s="9"/>
      <c r="H105" s="18"/>
      <c r="I105" s="17"/>
    </row>
    <row r="106" spans="1:10" s="102" customFormat="1" ht="17.45">
      <c r="B106" s="14"/>
      <c r="C106" s="102" t="s">
        <v>30</v>
      </c>
      <c r="D106" s="162" t="s">
        <v>31</v>
      </c>
      <c r="E106" s="148">
        <v>5</v>
      </c>
      <c r="G106" s="102" t="s">
        <v>26</v>
      </c>
      <c r="H106" s="61"/>
      <c r="I106" s="16" t="s">
        <v>200</v>
      </c>
    </row>
    <row r="107" spans="1:10" s="102" customFormat="1" ht="15.6">
      <c r="B107" s="14"/>
      <c r="D107" s="162"/>
      <c r="E107" s="2"/>
      <c r="H107" s="170"/>
      <c r="I107" s="16" t="s">
        <v>202</v>
      </c>
    </row>
    <row r="108" spans="1:10" s="102" customFormat="1" ht="18.600000000000001">
      <c r="A108"/>
      <c r="B108" s="75" t="s">
        <v>185</v>
      </c>
      <c r="C108" s="14" t="s">
        <v>203</v>
      </c>
      <c r="D108"/>
      <c r="E108" s="2"/>
      <c r="F108"/>
      <c r="G108" s="8"/>
      <c r="H108" s="59"/>
      <c r="I108" s="21"/>
      <c r="J108"/>
    </row>
    <row r="109" spans="1:10" s="102" customFormat="1" ht="18.600000000000001">
      <c r="A109"/>
      <c r="B109"/>
      <c r="C109" s="177" t="s">
        <v>193</v>
      </c>
      <c r="D109"/>
      <c r="E109" s="2"/>
      <c r="F109"/>
      <c r="G109" s="8"/>
      <c r="H109" s="59"/>
      <c r="I109" s="21"/>
      <c r="J109"/>
    </row>
    <row r="110" spans="1:10" s="102" customFormat="1" ht="18">
      <c r="C110" s="102" t="s">
        <v>24</v>
      </c>
      <c r="D110" s="162" t="s">
        <v>71</v>
      </c>
      <c r="E110" s="136">
        <v>1000</v>
      </c>
    </row>
    <row r="111" spans="1:10" s="102" customFormat="1" ht="15.6">
      <c r="B111" s="14"/>
      <c r="C111" s="102" t="s">
        <v>24</v>
      </c>
      <c r="D111" s="162" t="s">
        <v>29</v>
      </c>
      <c r="E111" s="138">
        <v>0.02</v>
      </c>
      <c r="H111" s="170"/>
      <c r="I111" s="16"/>
    </row>
    <row r="112" spans="1:10" s="102" customFormat="1" ht="17.45">
      <c r="B112" s="14"/>
      <c r="C112" s="102" t="s">
        <v>30</v>
      </c>
      <c r="D112" s="162" t="s">
        <v>31</v>
      </c>
      <c r="E112" s="148">
        <v>7</v>
      </c>
      <c r="G112" s="102" t="s">
        <v>26</v>
      </c>
      <c r="H112" s="61"/>
      <c r="I112" s="16" t="s">
        <v>204</v>
      </c>
    </row>
    <row r="113" spans="2:9" s="102" customFormat="1" ht="15.6">
      <c r="B113" s="14"/>
      <c r="D113" s="162"/>
      <c r="E113" s="9"/>
      <c r="H113" s="18"/>
      <c r="I113" s="17"/>
    </row>
    <row r="114" spans="2:9" s="102" customFormat="1" ht="18.600000000000001">
      <c r="B114" s="14"/>
      <c r="C114" s="177" t="s">
        <v>147</v>
      </c>
      <c r="D114"/>
      <c r="E114" s="2"/>
      <c r="F114"/>
      <c r="G114" s="8"/>
      <c r="H114" s="59"/>
      <c r="I114" s="21"/>
    </row>
    <row r="115" spans="2:9" s="102" customFormat="1" ht="18">
      <c r="B115" s="14"/>
      <c r="C115" s="102" t="s">
        <v>24</v>
      </c>
      <c r="D115" s="162" t="s">
        <v>71</v>
      </c>
      <c r="E115" s="136">
        <v>1000</v>
      </c>
    </row>
    <row r="116" spans="2:9" s="102" customFormat="1" ht="15.6">
      <c r="B116" s="14"/>
      <c r="C116" s="102" t="s">
        <v>24</v>
      </c>
      <c r="D116" s="162" t="s">
        <v>29</v>
      </c>
      <c r="E116" s="138">
        <v>0.02</v>
      </c>
      <c r="H116" s="170"/>
      <c r="I116" s="16"/>
    </row>
    <row r="117" spans="2:9" s="102" customFormat="1" ht="17.45">
      <c r="B117" s="14"/>
      <c r="C117" s="102" t="s">
        <v>30</v>
      </c>
      <c r="D117" s="162" t="s">
        <v>31</v>
      </c>
      <c r="E117" s="148">
        <v>2</v>
      </c>
      <c r="G117" s="102" t="s">
        <v>26</v>
      </c>
      <c r="H117" s="83"/>
      <c r="I117" s="16" t="s">
        <v>205</v>
      </c>
    </row>
    <row r="118" spans="2:9" s="102" customFormat="1" ht="15.6">
      <c r="B118" s="14"/>
      <c r="D118" s="162"/>
      <c r="E118" s="9"/>
      <c r="H118" s="18"/>
      <c r="I118" s="17"/>
    </row>
    <row r="119" spans="2:9" s="102" customFormat="1" ht="17.45">
      <c r="B119" s="14"/>
      <c r="C119" s="102" t="s">
        <v>30</v>
      </c>
      <c r="D119" s="162" t="s">
        <v>31</v>
      </c>
      <c r="E119" s="148">
        <v>5</v>
      </c>
      <c r="G119" s="102" t="s">
        <v>26</v>
      </c>
      <c r="H119" s="61"/>
      <c r="I119" s="16" t="s">
        <v>206</v>
      </c>
    </row>
    <row r="120" spans="2:9" s="102" customFormat="1" ht="15.6">
      <c r="B120" s="14"/>
      <c r="D120" s="162"/>
      <c r="H120" s="170"/>
      <c r="I120" s="16" t="s">
        <v>202</v>
      </c>
    </row>
    <row r="121" spans="2:9" s="102" customFormat="1" ht="15.6">
      <c r="B121" s="14"/>
      <c r="H121" s="18"/>
      <c r="I121" s="17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1CC30-648E-4029-A811-E56EBAF910CE}">
  <dimension ref="A1:AA55"/>
  <sheetViews>
    <sheetView workbookViewId="0"/>
  </sheetViews>
  <sheetFormatPr defaultColWidth="11.42578125" defaultRowHeight="14.45"/>
  <cols>
    <col min="1" max="1" width="11.5703125" customWidth="1"/>
    <col min="8" max="8" width="15.7109375" customWidth="1"/>
    <col min="9" max="9" width="11.85546875" bestFit="1" customWidth="1"/>
    <col min="16" max="16" width="16.28515625" customWidth="1"/>
  </cols>
  <sheetData>
    <row r="1" spans="1:10" ht="23.45">
      <c r="A1" s="10" t="s">
        <v>207</v>
      </c>
      <c r="E1" s="2"/>
      <c r="G1" s="8"/>
      <c r="H1" s="59"/>
      <c r="I1" s="21"/>
    </row>
    <row r="4" spans="1:10" ht="18.600000000000001">
      <c r="A4" s="78" t="s">
        <v>208</v>
      </c>
      <c r="B4" s="97"/>
      <c r="C4" s="100" t="s">
        <v>209</v>
      </c>
      <c r="D4" s="118">
        <v>0.03</v>
      </c>
    </row>
    <row r="6" spans="1:10" s="130" customFormat="1" ht="15.95" thickBot="1">
      <c r="B6" s="111" t="s">
        <v>210</v>
      </c>
      <c r="C6" s="112">
        <v>1</v>
      </c>
      <c r="D6" s="112">
        <v>2</v>
      </c>
      <c r="E6" s="112">
        <v>3</v>
      </c>
      <c r="F6" s="112">
        <v>4</v>
      </c>
      <c r="G6" s="112">
        <v>5</v>
      </c>
      <c r="H6" s="112">
        <v>6</v>
      </c>
      <c r="I6" s="112">
        <v>7</v>
      </c>
      <c r="J6" s="112">
        <v>8</v>
      </c>
    </row>
    <row r="7" spans="1:10" s="102" customFormat="1" ht="15.6">
      <c r="C7" s="119">
        <v>5000</v>
      </c>
      <c r="D7" s="119">
        <v>5000</v>
      </c>
      <c r="E7" s="119">
        <v>5000</v>
      </c>
      <c r="F7" s="119">
        <v>5000</v>
      </c>
      <c r="G7" s="119">
        <v>5000</v>
      </c>
      <c r="H7" s="119">
        <v>5000</v>
      </c>
      <c r="I7" s="119">
        <v>5000</v>
      </c>
      <c r="J7" s="119">
        <v>5000</v>
      </c>
    </row>
    <row r="10" spans="1:10">
      <c r="B10" t="s">
        <v>211</v>
      </c>
    </row>
    <row r="12" spans="1:10" ht="18.600000000000001">
      <c r="B12" s="103" t="s">
        <v>212</v>
      </c>
      <c r="D12" s="104" t="s">
        <v>213</v>
      </c>
      <c r="H12" s="102" t="s">
        <v>214</v>
      </c>
      <c r="I12" s="120"/>
    </row>
    <row r="13" spans="1:10" ht="15.6">
      <c r="H13" s="102"/>
      <c r="I13" s="102"/>
    </row>
    <row r="14" spans="1:10" ht="18.600000000000001">
      <c r="B14" s="103" t="s">
        <v>215</v>
      </c>
      <c r="D14" s="104" t="s">
        <v>216</v>
      </c>
      <c r="H14" s="102" t="s">
        <v>214</v>
      </c>
      <c r="I14" s="120"/>
    </row>
    <row r="16" spans="1:10">
      <c r="B16" t="s">
        <v>217</v>
      </c>
    </row>
    <row r="18" spans="1:12" ht="18.600000000000001">
      <c r="B18" s="103" t="s">
        <v>218</v>
      </c>
      <c r="D18" s="104" t="s">
        <v>219</v>
      </c>
      <c r="H18" t="s">
        <v>220</v>
      </c>
      <c r="I18" s="121"/>
    </row>
    <row r="21" spans="1:12" ht="21.95">
      <c r="A21" s="78" t="s">
        <v>221</v>
      </c>
      <c r="B21" s="97"/>
      <c r="C21" s="106" t="s">
        <v>222</v>
      </c>
      <c r="D21" s="122">
        <v>5.5E-2</v>
      </c>
      <c r="E21" s="107" t="s">
        <v>66</v>
      </c>
      <c r="F21" s="108" t="s">
        <v>223</v>
      </c>
      <c r="G21" s="123"/>
      <c r="J21" s="104" t="s">
        <v>224</v>
      </c>
    </row>
    <row r="23" spans="1:12" s="101" customFormat="1" ht="15.95" thickBot="1">
      <c r="B23" s="111">
        <v>0</v>
      </c>
      <c r="C23" s="112">
        <v>1</v>
      </c>
      <c r="D23" s="112">
        <v>2</v>
      </c>
      <c r="E23" s="112">
        <v>3</v>
      </c>
      <c r="F23" s="112">
        <v>4</v>
      </c>
      <c r="G23" s="112">
        <v>5</v>
      </c>
      <c r="H23" s="112">
        <v>6</v>
      </c>
      <c r="I23" s="112">
        <v>7</v>
      </c>
      <c r="J23" s="112">
        <v>8</v>
      </c>
      <c r="K23" s="112">
        <v>9</v>
      </c>
      <c r="L23" s="112">
        <v>10</v>
      </c>
    </row>
    <row r="24" spans="1:12" s="102" customFormat="1" ht="15.6">
      <c r="B24" s="124">
        <v>300</v>
      </c>
      <c r="C24" s="119">
        <v>300</v>
      </c>
      <c r="D24" s="119">
        <v>300</v>
      </c>
      <c r="E24" s="119">
        <v>300</v>
      </c>
      <c r="F24" s="119">
        <v>300</v>
      </c>
      <c r="G24" s="119">
        <v>300</v>
      </c>
      <c r="H24" s="119">
        <v>300</v>
      </c>
      <c r="I24" s="119">
        <v>300</v>
      </c>
      <c r="J24" s="119">
        <v>300</v>
      </c>
      <c r="K24" s="119">
        <v>300</v>
      </c>
    </row>
    <row r="27" spans="1:12">
      <c r="B27" t="s">
        <v>225</v>
      </c>
    </row>
    <row r="29" spans="1:12" ht="18.600000000000001">
      <c r="B29" s="103" t="s">
        <v>212</v>
      </c>
      <c r="D29" s="104" t="s">
        <v>213</v>
      </c>
      <c r="H29" s="102" t="s">
        <v>214</v>
      </c>
      <c r="I29" s="120"/>
    </row>
    <row r="30" spans="1:12" ht="15.6">
      <c r="H30" s="102"/>
      <c r="I30" s="102"/>
    </row>
    <row r="31" spans="1:12" ht="18.600000000000001">
      <c r="B31" s="103" t="s">
        <v>215</v>
      </c>
      <c r="D31" s="104" t="s">
        <v>216</v>
      </c>
      <c r="G31" s="110" t="s">
        <v>226</v>
      </c>
      <c r="H31" s="102" t="s">
        <v>214</v>
      </c>
      <c r="I31" s="120"/>
    </row>
    <row r="33" spans="1:27">
      <c r="B33" t="s">
        <v>227</v>
      </c>
    </row>
    <row r="35" spans="1:27" ht="18.600000000000001">
      <c r="B35" s="103" t="s">
        <v>218</v>
      </c>
      <c r="D35" s="104" t="s">
        <v>219</v>
      </c>
      <c r="H35" s="102" t="s">
        <v>220</v>
      </c>
      <c r="I35" s="120"/>
    </row>
    <row r="39" spans="1:27" ht="21.95">
      <c r="A39" s="78" t="s">
        <v>228</v>
      </c>
      <c r="B39" s="97"/>
      <c r="C39" s="107" t="s">
        <v>222</v>
      </c>
      <c r="D39" s="126">
        <v>0.05</v>
      </c>
      <c r="E39" s="107"/>
      <c r="F39" s="107" t="s">
        <v>66</v>
      </c>
      <c r="G39" s="108" t="s">
        <v>229</v>
      </c>
      <c r="H39" s="123"/>
      <c r="I39" s="109"/>
      <c r="J39" s="109"/>
      <c r="K39" s="109"/>
      <c r="L39" s="104" t="s">
        <v>224</v>
      </c>
    </row>
    <row r="42" spans="1:27" s="101" customFormat="1" ht="15.95" thickBot="1">
      <c r="B42" s="111" t="s">
        <v>230</v>
      </c>
      <c r="C42" s="111">
        <v>0</v>
      </c>
      <c r="D42" s="112">
        <v>1</v>
      </c>
      <c r="E42" s="112">
        <v>2</v>
      </c>
      <c r="F42" s="112"/>
      <c r="G42" s="112"/>
      <c r="H42" s="112">
        <v>3</v>
      </c>
      <c r="I42" s="112"/>
      <c r="J42" s="112"/>
      <c r="K42" s="112">
        <v>4</v>
      </c>
      <c r="L42" s="112"/>
      <c r="M42" s="112"/>
      <c r="N42" s="112">
        <v>5</v>
      </c>
      <c r="O42" s="112"/>
      <c r="P42" s="112"/>
      <c r="Q42" s="112">
        <v>6</v>
      </c>
    </row>
    <row r="43" spans="1:27">
      <c r="B43" s="103" t="s">
        <v>231</v>
      </c>
      <c r="F43" s="127">
        <v>1000</v>
      </c>
      <c r="G43" s="127">
        <v>1000</v>
      </c>
      <c r="H43" s="127">
        <v>1000</v>
      </c>
      <c r="I43" s="127">
        <v>1000</v>
      </c>
      <c r="J43" s="127">
        <v>1000</v>
      </c>
      <c r="K43" s="127">
        <v>1000</v>
      </c>
      <c r="L43" s="127">
        <v>1000</v>
      </c>
      <c r="M43" s="127">
        <v>1000</v>
      </c>
      <c r="N43" s="127">
        <v>1000</v>
      </c>
      <c r="O43" s="127">
        <v>1000</v>
      </c>
      <c r="P43" s="127">
        <v>1000</v>
      </c>
      <c r="Q43" s="127">
        <v>1000</v>
      </c>
    </row>
    <row r="46" spans="1:27">
      <c r="C46" t="s">
        <v>225</v>
      </c>
    </row>
    <row r="48" spans="1:27" ht="15.6">
      <c r="M48" s="105"/>
      <c r="N48" s="105"/>
      <c r="AA48" s="105"/>
    </row>
    <row r="49" spans="8:27" ht="18.600000000000001">
      <c r="I49" s="103" t="s">
        <v>212</v>
      </c>
      <c r="L49" s="113" t="s">
        <v>232</v>
      </c>
      <c r="O49" s="114" t="s">
        <v>66</v>
      </c>
      <c r="P49" s="120"/>
      <c r="AA49" s="102"/>
    </row>
    <row r="50" spans="8:27" ht="15.6">
      <c r="L50" s="21"/>
      <c r="P50" s="102"/>
      <c r="AA50" s="105"/>
    </row>
    <row r="51" spans="8:27" ht="18.600000000000001">
      <c r="I51" s="103" t="s">
        <v>215</v>
      </c>
      <c r="L51" s="113" t="s">
        <v>233</v>
      </c>
      <c r="N51" s="110"/>
      <c r="O51" s="114" t="s">
        <v>66</v>
      </c>
      <c r="P51" s="120"/>
    </row>
    <row r="53" spans="8:27">
      <c r="H53" s="103" t="s">
        <v>234</v>
      </c>
    </row>
    <row r="54" spans="8:27" ht="15.6">
      <c r="AA54" s="105"/>
    </row>
    <row r="55" spans="8:27" ht="21">
      <c r="I55" s="115" t="s">
        <v>235</v>
      </c>
      <c r="M55" s="115" t="s">
        <v>236</v>
      </c>
      <c r="N55" s="104"/>
      <c r="P55" s="12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TURGALICIA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Luis Sieira López</dc:creator>
  <cp:keywords/>
  <dc:description/>
  <cp:lastModifiedBy/>
  <cp:revision/>
  <dcterms:created xsi:type="dcterms:W3CDTF">2012-01-10T12:23:23Z</dcterms:created>
  <dcterms:modified xsi:type="dcterms:W3CDTF">2025-03-21T18:41:26Z</dcterms:modified>
  <cp:category/>
  <cp:contentStatus/>
</cp:coreProperties>
</file>