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 activeTab="2"/>
  </bookViews>
  <sheets>
    <sheet name="Exp1" sheetId="1" r:id="rId1"/>
    <sheet name="Exp2" sheetId="2" r:id="rId2"/>
    <sheet name="Exp3 (2)" sheetId="6" r:id="rId3"/>
    <sheet name="Exp3" sheetId="3" r:id="rId4"/>
    <sheet name="Exp4" sheetId="4" r:id="rId5"/>
    <sheet name="Exp5" sheetId="5" r:id="rId6"/>
  </sheets>
  <calcPr calcId="144525"/>
</workbook>
</file>

<file path=xl/sharedStrings.xml><?xml version="1.0" encoding="utf-8"?>
<sst xmlns="http://schemas.openxmlformats.org/spreadsheetml/2006/main" count="120" uniqueCount="69">
  <si>
    <t>Sample current Ip</t>
  </si>
  <si>
    <t>Hall voltage UH</t>
  </si>
  <si>
    <t>Ip/mA</t>
  </si>
  <si>
    <t>UH/mV</t>
  </si>
  <si>
    <t>ud</t>
  </si>
  <si>
    <t>error</t>
  </si>
  <si>
    <t>error V</t>
  </si>
  <si>
    <t>alfa</t>
  </si>
  <si>
    <t>mV/mA</t>
  </si>
  <si>
    <t>V/A</t>
  </si>
  <si>
    <t>error A</t>
  </si>
  <si>
    <t>B</t>
  </si>
  <si>
    <t>mT</t>
  </si>
  <si>
    <t>T</t>
  </si>
  <si>
    <t>q</t>
  </si>
  <si>
    <t>C</t>
  </si>
  <si>
    <t>d</t>
  </si>
  <si>
    <t>mm</t>
  </si>
  <si>
    <t>m</t>
  </si>
  <si>
    <t>n</t>
  </si>
  <si>
    <t>m^-3</t>
  </si>
  <si>
    <t>x10^21</t>
  </si>
  <si>
    <t>Densidad de fl B</t>
  </si>
  <si>
    <t>B/mT</t>
  </si>
  <si>
    <t>a</t>
  </si>
  <si>
    <t>b</t>
  </si>
  <si>
    <t>pdte/ordenada</t>
  </si>
  <si>
    <t>I</t>
  </si>
  <si>
    <t>mA</t>
  </si>
  <si>
    <t>A</t>
  </si>
  <si>
    <t>mV/mT</t>
  </si>
  <si>
    <t>V/T</t>
  </si>
  <si>
    <t>R_Hall</t>
  </si>
  <si>
    <t>m^3/(A.s)</t>
  </si>
  <si>
    <t>m^3/mA.s</t>
  </si>
  <si>
    <t>*10^20</t>
  </si>
  <si>
    <t>conductividad</t>
  </si>
  <si>
    <t>(ohm.m)^-1</t>
  </si>
  <si>
    <t>l</t>
  </si>
  <si>
    <t>mV</t>
  </si>
  <si>
    <t>m^2</t>
  </si>
  <si>
    <t>R0</t>
  </si>
  <si>
    <t>ohm</t>
  </si>
  <si>
    <t>mu_Hall</t>
  </si>
  <si>
    <t>Sample voltage Up</t>
  </si>
  <si>
    <t>I/mA</t>
  </si>
  <si>
    <t>Up/V</t>
  </si>
  <si>
    <t>R ohm</t>
  </si>
  <si>
    <t>R-R0/R0</t>
  </si>
  <si>
    <t>error mT</t>
  </si>
  <si>
    <t>error mA</t>
  </si>
  <si>
    <t>Sample temperature Tp</t>
  </si>
  <si>
    <r>
      <rPr>
        <sz val="11"/>
        <color rgb="FF000000"/>
        <rFont val="Calibri"/>
        <charset val="134"/>
      </rPr>
      <t>Tp/</t>
    </r>
    <r>
      <rPr>
        <sz val="11"/>
        <color rgb="FF000000"/>
        <rFont val="Noto Sans CJK SC"/>
        <charset val="1"/>
      </rPr>
      <t>蚓</t>
    </r>
  </si>
  <si>
    <t>errorT</t>
  </si>
  <si>
    <t>error mV</t>
  </si>
  <si>
    <t>T (K)</t>
  </si>
  <si>
    <t>error T</t>
  </si>
  <si>
    <t>(1/T)</t>
  </si>
  <si>
    <t>ln(1/V)</t>
  </si>
  <si>
    <t>error t</t>
  </si>
  <si>
    <t>error v</t>
  </si>
  <si>
    <t>valor</t>
  </si>
  <si>
    <t>Kelvin</t>
  </si>
  <si>
    <t>error a</t>
  </si>
  <si>
    <t>k</t>
  </si>
  <si>
    <t>error E</t>
  </si>
  <si>
    <t>Eg</t>
  </si>
  <si>
    <t>julios</t>
  </si>
  <si>
    <t>eV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</si>
</sst>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-* #,##0_-;\-* #,##0_-;_-* &quot;-&quot;_-;_-@_-"/>
    <numFmt numFmtId="176" formatCode="_-* #,##0.00_-;\-* #,##0.00_-;_-* \-??_-;_-@_-"/>
    <numFmt numFmtId="177" formatCode="_-&quot;€&quot;* #,##0.00_-;\-&quot;€&quot;* #,##0.00_-;_-&quot;€&quot;* &quot;-&quot;??_-;_-@_-"/>
    <numFmt numFmtId="178" formatCode="_-* #,##0_-;\-&quot;€&quot;* #,##0_-;_-&quot;€&quot;* &quot;-&quot;_-;_-@_-"/>
    <numFmt numFmtId="179" formatCode="0.0000_ "/>
    <numFmt numFmtId="180" formatCode="0.000_ "/>
    <numFmt numFmtId="181" formatCode="0.00000_ "/>
    <numFmt numFmtId="182" formatCode="0_ "/>
    <numFmt numFmtId="183" formatCode="0.0_ "/>
    <numFmt numFmtId="184" formatCode="0.00_ "/>
  </numFmts>
  <fonts count="25"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0.5"/>
      <color rgb="FF202124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Noto Sans CJK SC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Border="0" applyProtection="0">
      <alignment vertical="center"/>
    </xf>
    <xf numFmtId="177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178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1" fillId="0" borderId="0" xfId="0" applyNumberFormat="1" applyFont="1">
      <alignment vertical="center"/>
    </xf>
    <xf numFmtId="181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3" fillId="0" borderId="0" xfId="0" applyFont="1" applyFill="1" applyAlignment="1">
      <alignment vertical="center"/>
    </xf>
    <xf numFmtId="183" fontId="3" fillId="0" borderId="0" xfId="0" applyNumberFormat="1" applyFont="1" applyFill="1" applyAlignment="1">
      <alignment vertical="center"/>
    </xf>
    <xf numFmtId="184" fontId="3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  <xf numFmtId="11" fontId="0" fillId="0" borderId="0" xfId="1" applyNumberFormat="1" applyFont="1" applyBorder="1" applyAlignment="1" applyProtection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793073451857"/>
          <c:y val="0.0509320031504332"/>
          <c:w val="0.807589843962377"/>
          <c:h val="0.828957731688107"/>
        </c:manualLayout>
      </c:layout>
      <c:scatterChart>
        <c:scatterStyle val="marker"/>
        <c:varyColors val="0"/>
        <c:ser>
          <c:idx val="0"/>
          <c:order val="0"/>
          <c:spPr>
            <a:ln w="19080" cap="rnd" cmpd="sng" algn="ctr">
              <a:noFill/>
              <a:prstDash val="solid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s-E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trendline>
            <c:spPr>
              <a:ln w="19080" cap="rnd" cmpd="sng" algn="ctr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'Exp1'!$B$19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'Exp1'!$B$19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'Exp1'!$B$19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'Exp1'!$B$19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'Exp1'!$A$4:$A$17</c:f>
              <c:numCache>
                <c:formatCode>General</c:formatCode>
                <c:ptCount val="14"/>
                <c:pt idx="0">
                  <c:v>-30.4</c:v>
                </c:pt>
                <c:pt idx="1">
                  <c:v>-24.3</c:v>
                </c:pt>
                <c:pt idx="2">
                  <c:v>-20.2</c:v>
                </c:pt>
                <c:pt idx="3">
                  <c:v>-14.5</c:v>
                </c:pt>
                <c:pt idx="4">
                  <c:v>-9.8</c:v>
                </c:pt>
                <c:pt idx="5">
                  <c:v>-4.7</c:v>
                </c:pt>
                <c:pt idx="6">
                  <c:v>-0.3</c:v>
                </c:pt>
                <c:pt idx="7">
                  <c:v>5.1</c:v>
                </c:pt>
                <c:pt idx="8">
                  <c:v>10.2</c:v>
                </c:pt>
                <c:pt idx="9">
                  <c:v>15.5</c:v>
                </c:pt>
                <c:pt idx="10">
                  <c:v>16</c:v>
                </c:pt>
                <c:pt idx="11">
                  <c:v>19.9</c:v>
                </c:pt>
                <c:pt idx="12">
                  <c:v>25.2</c:v>
                </c:pt>
                <c:pt idx="13">
                  <c:v>30.1</c:v>
                </c:pt>
              </c:numCache>
            </c:numRef>
          </c:xVal>
          <c:yVal>
            <c:numRef>
              <c:f>'Exp1'!$B$4:$B$17</c:f>
              <c:numCache>
                <c:formatCode>General</c:formatCode>
                <c:ptCount val="14"/>
                <c:pt idx="0">
                  <c:v>-43.6</c:v>
                </c:pt>
                <c:pt idx="1">
                  <c:v>-35</c:v>
                </c:pt>
                <c:pt idx="2">
                  <c:v>-29.3</c:v>
                </c:pt>
                <c:pt idx="3">
                  <c:v>-21</c:v>
                </c:pt>
                <c:pt idx="4">
                  <c:v>-14.1</c:v>
                </c:pt>
                <c:pt idx="5">
                  <c:v>-7.1</c:v>
                </c:pt>
                <c:pt idx="6">
                  <c:v>-0.9</c:v>
                </c:pt>
                <c:pt idx="7">
                  <c:v>6.7</c:v>
                </c:pt>
                <c:pt idx="8">
                  <c:v>14.3</c:v>
                </c:pt>
                <c:pt idx="9">
                  <c:v>21.6</c:v>
                </c:pt>
                <c:pt idx="10">
                  <c:v>22.6</c:v>
                </c:pt>
                <c:pt idx="11">
                  <c:v>27.9</c:v>
                </c:pt>
                <c:pt idx="12">
                  <c:v>35.8</c:v>
                </c:pt>
                <c:pt idx="13">
                  <c:v>42.6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98408251"/>
        <c:axId val="43852291"/>
      </c:scatterChart>
      <c:valAx>
        <c:axId val="9840825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I (mA)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>
            <c:manualLayout>
              <c:xMode val="edge"/>
              <c:yMode val="edge"/>
              <c:x val="0.512423204479965"/>
              <c:y val="0.912444211079023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43852291"/>
        <c:crosses val="autoZero"/>
        <c:crossBetween val="midCat"/>
      </c:valAx>
      <c:valAx>
        <c:axId val="438522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V (mV)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>
            <c:manualLayout>
              <c:xMode val="edge"/>
              <c:yMode val="edge"/>
              <c:x val="0.0693742184526722"/>
              <c:y val="0.38645313730638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9840825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0"/>
  </c:chart>
  <c:spPr>
    <a:solidFill>
      <a:srgbClr val="FFFFFF"/>
    </a:solidFill>
    <a:ln w="9360" cap="flat" cmpd="sng" algn="ctr">
      <a:noFill/>
      <a:prstDash val="solid"/>
      <a:round/>
    </a:ln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993724111962"/>
          <c:y val="0.0509253182832393"/>
          <c:w val="0.807581272750094"/>
          <c:h val="0.828848930305814"/>
        </c:manualLayout>
      </c:layout>
      <c:scatterChart>
        <c:scatterStyle val="marker"/>
        <c:varyColors val="0"/>
        <c:ser>
          <c:idx val="0"/>
          <c:order val="0"/>
          <c:spPr>
            <a:ln w="19080" cap="rnd" cmpd="sng" algn="ctr">
              <a:noFill/>
              <a:prstDash val="solid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s-E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trendline>
            <c:spPr>
              <a:ln w="19080" cap="rnd" cmpd="sng" algn="ctr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'Exp2'!$E$20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'Exp2'!$E$20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'Exp2'!$E$20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'Exp2'!$E$20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'Exp2'!$A$4:$A$68</c:f>
              <c:numCache>
                <c:formatCode>0.0_ </c:formatCode>
                <c:ptCount val="65"/>
                <c:pt idx="0">
                  <c:v>-303.171</c:v>
                </c:pt>
                <c:pt idx="1">
                  <c:v>-299.1</c:v>
                </c:pt>
                <c:pt idx="2">
                  <c:v>-290.428</c:v>
                </c:pt>
                <c:pt idx="3">
                  <c:v>-287.773</c:v>
                </c:pt>
                <c:pt idx="4">
                  <c:v>-270.96</c:v>
                </c:pt>
                <c:pt idx="5">
                  <c:v>-270.783</c:v>
                </c:pt>
                <c:pt idx="6">
                  <c:v>-264.235</c:v>
                </c:pt>
                <c:pt idx="7">
                  <c:v>-251.669</c:v>
                </c:pt>
                <c:pt idx="8">
                  <c:v>-251.492</c:v>
                </c:pt>
                <c:pt idx="9">
                  <c:v>-248.66</c:v>
                </c:pt>
                <c:pt idx="10">
                  <c:v>-246.536</c:v>
                </c:pt>
                <c:pt idx="11">
                  <c:v>-237.864</c:v>
                </c:pt>
                <c:pt idx="12">
                  <c:v>-229.9</c:v>
                </c:pt>
                <c:pt idx="13">
                  <c:v>-228.838</c:v>
                </c:pt>
                <c:pt idx="14">
                  <c:v>-220.52</c:v>
                </c:pt>
                <c:pt idx="15">
                  <c:v>-215.034</c:v>
                </c:pt>
                <c:pt idx="16">
                  <c:v>-214.857</c:v>
                </c:pt>
                <c:pt idx="17">
                  <c:v>-197.335</c:v>
                </c:pt>
                <c:pt idx="18">
                  <c:v>-191.672</c:v>
                </c:pt>
                <c:pt idx="19">
                  <c:v>-185.654</c:v>
                </c:pt>
                <c:pt idx="20">
                  <c:v>-169.903</c:v>
                </c:pt>
                <c:pt idx="21">
                  <c:v>-167.425</c:v>
                </c:pt>
                <c:pt idx="22">
                  <c:v>-152.028</c:v>
                </c:pt>
                <c:pt idx="23">
                  <c:v>-133.268</c:v>
                </c:pt>
                <c:pt idx="24">
                  <c:v>-122.649</c:v>
                </c:pt>
                <c:pt idx="25">
                  <c:v>-115.215</c:v>
                </c:pt>
                <c:pt idx="26">
                  <c:v>-103.942</c:v>
                </c:pt>
                <c:pt idx="27">
                  <c:v>-87.385</c:v>
                </c:pt>
                <c:pt idx="28">
                  <c:v>-70.041</c:v>
                </c:pt>
                <c:pt idx="29">
                  <c:v>-59.988</c:v>
                </c:pt>
                <c:pt idx="30">
                  <c:v>-54.466</c:v>
                </c:pt>
                <c:pt idx="31">
                  <c:v>-40.75</c:v>
                </c:pt>
                <c:pt idx="32">
                  <c:v>-38.768</c:v>
                </c:pt>
                <c:pt idx="33">
                  <c:v>-33.618</c:v>
                </c:pt>
                <c:pt idx="34">
                  <c:v>-18.273</c:v>
                </c:pt>
                <c:pt idx="35">
                  <c:v>-10.256</c:v>
                </c:pt>
                <c:pt idx="36">
                  <c:v>-8.506</c:v>
                </c:pt>
                <c:pt idx="37">
                  <c:v>1.273</c:v>
                </c:pt>
                <c:pt idx="38">
                  <c:v>1.314</c:v>
                </c:pt>
                <c:pt idx="39">
                  <c:v>13.798</c:v>
                </c:pt>
                <c:pt idx="40">
                  <c:v>22.096</c:v>
                </c:pt>
                <c:pt idx="41">
                  <c:v>47.015</c:v>
                </c:pt>
                <c:pt idx="42">
                  <c:v>66.501</c:v>
                </c:pt>
                <c:pt idx="43">
                  <c:v>69.899</c:v>
                </c:pt>
                <c:pt idx="44">
                  <c:v>69.988</c:v>
                </c:pt>
                <c:pt idx="45">
                  <c:v>81.916</c:v>
                </c:pt>
                <c:pt idx="46">
                  <c:v>101.791</c:v>
                </c:pt>
                <c:pt idx="47">
                  <c:v>108.136</c:v>
                </c:pt>
                <c:pt idx="48">
                  <c:v>115.746</c:v>
                </c:pt>
                <c:pt idx="49">
                  <c:v>129.905</c:v>
                </c:pt>
                <c:pt idx="50">
                  <c:v>145.126</c:v>
                </c:pt>
                <c:pt idx="51">
                  <c:v>153.975</c:v>
                </c:pt>
                <c:pt idx="52">
                  <c:v>155.037</c:v>
                </c:pt>
                <c:pt idx="53">
                  <c:v>177.336</c:v>
                </c:pt>
                <c:pt idx="54">
                  <c:v>177.867</c:v>
                </c:pt>
                <c:pt idx="55">
                  <c:v>199.636</c:v>
                </c:pt>
                <c:pt idx="56">
                  <c:v>199.813</c:v>
                </c:pt>
                <c:pt idx="57">
                  <c:v>213.264</c:v>
                </c:pt>
                <c:pt idx="58">
                  <c:v>218.927</c:v>
                </c:pt>
                <c:pt idx="59">
                  <c:v>232.378</c:v>
                </c:pt>
                <c:pt idx="60">
                  <c:v>239.457</c:v>
                </c:pt>
                <c:pt idx="61">
                  <c:v>249.722</c:v>
                </c:pt>
                <c:pt idx="62">
                  <c:v>252.023</c:v>
                </c:pt>
                <c:pt idx="63">
                  <c:v>276.446</c:v>
                </c:pt>
                <c:pt idx="64">
                  <c:v>300.693</c:v>
                </c:pt>
              </c:numCache>
            </c:numRef>
          </c:xVal>
          <c:yVal>
            <c:numRef>
              <c:f>'Exp2'!$B$4:$B$68</c:f>
              <c:numCache>
                <c:formatCode>General</c:formatCode>
                <c:ptCount val="65"/>
                <c:pt idx="0">
                  <c:v>-79.1</c:v>
                </c:pt>
                <c:pt idx="1">
                  <c:v>-78.4</c:v>
                </c:pt>
                <c:pt idx="2">
                  <c:v>-76.9</c:v>
                </c:pt>
                <c:pt idx="3">
                  <c:v>-76.5</c:v>
                </c:pt>
                <c:pt idx="4">
                  <c:v>-73.3</c:v>
                </c:pt>
                <c:pt idx="5">
                  <c:v>-73.1</c:v>
                </c:pt>
                <c:pt idx="6">
                  <c:v>-71.9</c:v>
                </c:pt>
                <c:pt idx="7">
                  <c:v>-69.4</c:v>
                </c:pt>
                <c:pt idx="8">
                  <c:v>-69.5</c:v>
                </c:pt>
                <c:pt idx="9">
                  <c:v>-68.8</c:v>
                </c:pt>
                <c:pt idx="10">
                  <c:v>-68.5</c:v>
                </c:pt>
                <c:pt idx="11">
                  <c:v>-67</c:v>
                </c:pt>
                <c:pt idx="12">
                  <c:v>-65.2</c:v>
                </c:pt>
                <c:pt idx="13">
                  <c:v>-65</c:v>
                </c:pt>
                <c:pt idx="14">
                  <c:v>-63.7</c:v>
                </c:pt>
                <c:pt idx="15">
                  <c:v>-62.2</c:v>
                </c:pt>
                <c:pt idx="16">
                  <c:v>-62.2</c:v>
                </c:pt>
                <c:pt idx="17">
                  <c:v>-59.5</c:v>
                </c:pt>
                <c:pt idx="18">
                  <c:v>-57.5</c:v>
                </c:pt>
                <c:pt idx="19">
                  <c:v>-56.5</c:v>
                </c:pt>
                <c:pt idx="20">
                  <c:v>-53</c:v>
                </c:pt>
                <c:pt idx="21">
                  <c:v>-52.7</c:v>
                </c:pt>
                <c:pt idx="22">
                  <c:v>-49</c:v>
                </c:pt>
                <c:pt idx="23">
                  <c:v>-45.1</c:v>
                </c:pt>
                <c:pt idx="24">
                  <c:v>-42.9</c:v>
                </c:pt>
                <c:pt idx="25">
                  <c:v>-41.1</c:v>
                </c:pt>
                <c:pt idx="26">
                  <c:v>-39.7</c:v>
                </c:pt>
                <c:pt idx="27">
                  <c:v>-34.8</c:v>
                </c:pt>
                <c:pt idx="28">
                  <c:v>-31.9</c:v>
                </c:pt>
                <c:pt idx="29">
                  <c:v>-28.6</c:v>
                </c:pt>
                <c:pt idx="30">
                  <c:v>-27.4</c:v>
                </c:pt>
                <c:pt idx="31">
                  <c:v>-24.6</c:v>
                </c:pt>
                <c:pt idx="32">
                  <c:v>-22.8</c:v>
                </c:pt>
                <c:pt idx="33">
                  <c:v>-22.8</c:v>
                </c:pt>
                <c:pt idx="34">
                  <c:v>-19.2</c:v>
                </c:pt>
                <c:pt idx="35">
                  <c:v>-17.2</c:v>
                </c:pt>
                <c:pt idx="36">
                  <c:v>-17.9</c:v>
                </c:pt>
                <c:pt idx="37">
                  <c:v>-14.5</c:v>
                </c:pt>
                <c:pt idx="38">
                  <c:v>-14.4</c:v>
                </c:pt>
                <c:pt idx="39">
                  <c:v>-11.6</c:v>
                </c:pt>
                <c:pt idx="40">
                  <c:v>-10.1</c:v>
                </c:pt>
                <c:pt idx="41">
                  <c:v>-3.9</c:v>
                </c:pt>
                <c:pt idx="42">
                  <c:v>0.4</c:v>
                </c:pt>
                <c:pt idx="43">
                  <c:v>1.3</c:v>
                </c:pt>
                <c:pt idx="44">
                  <c:v>1.3</c:v>
                </c:pt>
                <c:pt idx="45">
                  <c:v>4</c:v>
                </c:pt>
                <c:pt idx="46">
                  <c:v>7.6</c:v>
                </c:pt>
                <c:pt idx="47">
                  <c:v>9.9</c:v>
                </c:pt>
                <c:pt idx="48">
                  <c:v>10.9</c:v>
                </c:pt>
                <c:pt idx="49">
                  <c:v>14.7</c:v>
                </c:pt>
                <c:pt idx="50">
                  <c:v>17.5</c:v>
                </c:pt>
                <c:pt idx="51">
                  <c:v>19.8</c:v>
                </c:pt>
                <c:pt idx="52">
                  <c:v>19.8</c:v>
                </c:pt>
                <c:pt idx="53">
                  <c:v>24.7</c:v>
                </c:pt>
                <c:pt idx="54">
                  <c:v>24.7</c:v>
                </c:pt>
                <c:pt idx="55">
                  <c:v>28.8</c:v>
                </c:pt>
                <c:pt idx="56">
                  <c:v>29.2</c:v>
                </c:pt>
                <c:pt idx="57">
                  <c:v>31.4</c:v>
                </c:pt>
                <c:pt idx="58">
                  <c:v>33.2</c:v>
                </c:pt>
                <c:pt idx="59">
                  <c:v>35.5</c:v>
                </c:pt>
                <c:pt idx="60">
                  <c:v>36.8</c:v>
                </c:pt>
                <c:pt idx="61">
                  <c:v>38.9</c:v>
                </c:pt>
                <c:pt idx="62">
                  <c:v>39.4</c:v>
                </c:pt>
                <c:pt idx="63">
                  <c:v>44</c:v>
                </c:pt>
                <c:pt idx="64">
                  <c:v>48.5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64638506"/>
        <c:axId val="62209830"/>
      </c:scatterChart>
      <c:valAx>
        <c:axId val="64638506"/>
        <c:scaling>
          <c:orientation val="minMax"/>
          <c:max val="350"/>
          <c:min val="-35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B (mT)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>
            <c:manualLayout>
              <c:xMode val="edge"/>
              <c:yMode val="edge"/>
              <c:x val="0.506840717961592"/>
              <c:y val="0.924137025856412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62209830"/>
        <c:crosses val="autoZero"/>
        <c:crossBetween val="midCat"/>
      </c:valAx>
      <c:valAx>
        <c:axId val="62209830"/>
        <c:scaling>
          <c:orientation val="minMax"/>
          <c:max val="60"/>
          <c:min val="-8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V (mV)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>
            <c:manualLayout>
              <c:xMode val="edge"/>
              <c:yMode val="edge"/>
              <c:x val="0.0611271494916531"/>
              <c:y val="0.34702716891980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6463850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0"/>
  </c:chart>
  <c:spPr>
    <a:solidFill>
      <a:srgbClr val="FFFFFF"/>
    </a:solidFill>
    <a:ln w="9360" cap="flat" cmpd="sng" algn="ctr">
      <a:noFill/>
      <a:prstDash val="solid"/>
      <a:round/>
    </a:ln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'Exp3 (2)'!$B$23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'Exp3 (2)'!$B$23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'Exp3 (2)'!$A$4:$A$21</c:f>
              <c:numCache>
                <c:formatCode>0.0_ </c:formatCode>
                <c:ptCount val="18"/>
                <c:pt idx="0">
                  <c:v>0.968</c:v>
                </c:pt>
                <c:pt idx="1">
                  <c:v>0.986</c:v>
                </c:pt>
                <c:pt idx="2">
                  <c:v>7.612</c:v>
                </c:pt>
                <c:pt idx="3">
                  <c:v>23.99</c:v>
                </c:pt>
                <c:pt idx="4">
                  <c:v>36.626</c:v>
                </c:pt>
                <c:pt idx="5">
                  <c:v>48.856</c:v>
                </c:pt>
                <c:pt idx="6">
                  <c:v>64.979</c:v>
                </c:pt>
                <c:pt idx="7">
                  <c:v>85.544</c:v>
                </c:pt>
                <c:pt idx="8">
                  <c:v>112.03</c:v>
                </c:pt>
                <c:pt idx="9">
                  <c:v>137.869</c:v>
                </c:pt>
                <c:pt idx="10">
                  <c:v>157.337</c:v>
                </c:pt>
                <c:pt idx="11">
                  <c:v>184.416</c:v>
                </c:pt>
                <c:pt idx="12">
                  <c:v>208.308</c:v>
                </c:pt>
                <c:pt idx="13">
                  <c:v>228.838</c:v>
                </c:pt>
                <c:pt idx="14">
                  <c:v>248.129</c:v>
                </c:pt>
                <c:pt idx="15">
                  <c:v>262.819</c:v>
                </c:pt>
                <c:pt idx="16">
                  <c:v>274.677</c:v>
                </c:pt>
                <c:pt idx="17">
                  <c:v>299.454</c:v>
                </c:pt>
              </c:numCache>
            </c:numRef>
          </c:xVal>
          <c:yVal>
            <c:numRef>
              <c:f>'Exp3 (2)'!$F$4:$F$21</c:f>
              <c:numCache>
                <c:formatCode>0.00_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0.00188679245283022</c:v>
                </c:pt>
                <c:pt idx="4">
                  <c:v>0.00188679245283022</c:v>
                </c:pt>
                <c:pt idx="5">
                  <c:v>0</c:v>
                </c:pt>
                <c:pt idx="6">
                  <c:v>0.00188679245283022</c:v>
                </c:pt>
                <c:pt idx="7">
                  <c:v>0</c:v>
                </c:pt>
                <c:pt idx="8">
                  <c:v>0.00754716981132073</c:v>
                </c:pt>
                <c:pt idx="9">
                  <c:v>0.00754716981132073</c:v>
                </c:pt>
                <c:pt idx="10">
                  <c:v>0.00754716981132073</c:v>
                </c:pt>
                <c:pt idx="11">
                  <c:v>0.0113207547169812</c:v>
                </c:pt>
                <c:pt idx="12">
                  <c:v>0.00943396226415094</c:v>
                </c:pt>
                <c:pt idx="13">
                  <c:v>0.0169811320754717</c:v>
                </c:pt>
                <c:pt idx="14">
                  <c:v>0.0188679245283019</c:v>
                </c:pt>
                <c:pt idx="15">
                  <c:v>0.0226415094339623</c:v>
                </c:pt>
                <c:pt idx="16">
                  <c:v>0.0245283018867924</c:v>
                </c:pt>
                <c:pt idx="17">
                  <c:v>0.0245283018867924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64936"/>
        <c:axId val="660995240"/>
      </c:scatterChart>
      <c:valAx>
        <c:axId val="432464936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B (mT)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995240"/>
        <c:crosses val="autoZero"/>
        <c:crossBetween val="midCat"/>
      </c:valAx>
      <c:valAx>
        <c:axId val="6609952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(Rm-R0)/R0 (O)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2464936"/>
        <c:crosses val="autoZero"/>
        <c:crossBetween val="midCat"/>
        <c:maj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80" cap="rnd" cmpd="sng" algn="ctr">
              <a:noFill/>
              <a:prstDash val="solid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s-E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trendline>
            <c:spPr>
              <a:ln w="19080" cap="rnd" cmpd="sng" algn="ctr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'Exp3'!$B$23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'Exp3'!$B$23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'Exp3'!$A$4:$A$21</c:f>
              <c:numCache>
                <c:formatCode>0.0_ </c:formatCode>
                <c:ptCount val="18"/>
                <c:pt idx="0">
                  <c:v>0.968</c:v>
                </c:pt>
                <c:pt idx="1">
                  <c:v>0.986</c:v>
                </c:pt>
                <c:pt idx="2">
                  <c:v>7.612</c:v>
                </c:pt>
                <c:pt idx="3">
                  <c:v>23.99</c:v>
                </c:pt>
                <c:pt idx="4">
                  <c:v>36.626</c:v>
                </c:pt>
                <c:pt idx="5">
                  <c:v>48.856</c:v>
                </c:pt>
                <c:pt idx="6">
                  <c:v>64.979</c:v>
                </c:pt>
                <c:pt idx="7">
                  <c:v>85.544</c:v>
                </c:pt>
                <c:pt idx="8">
                  <c:v>112.03</c:v>
                </c:pt>
                <c:pt idx="9">
                  <c:v>137.869</c:v>
                </c:pt>
                <c:pt idx="10">
                  <c:v>157.337</c:v>
                </c:pt>
                <c:pt idx="11">
                  <c:v>184.416</c:v>
                </c:pt>
                <c:pt idx="12">
                  <c:v>208.308</c:v>
                </c:pt>
                <c:pt idx="13">
                  <c:v>228.838</c:v>
                </c:pt>
                <c:pt idx="14">
                  <c:v>248.129</c:v>
                </c:pt>
                <c:pt idx="15">
                  <c:v>262.819</c:v>
                </c:pt>
                <c:pt idx="16">
                  <c:v>274.677</c:v>
                </c:pt>
                <c:pt idx="17">
                  <c:v>299.454</c:v>
                </c:pt>
              </c:numCache>
            </c:numRef>
          </c:xVal>
          <c:yVal>
            <c:numRef>
              <c:f>'Exp3'!$F$4:$F$21</c:f>
              <c:numCache>
                <c:formatCode>0.00_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0.00188679245283022</c:v>
                </c:pt>
                <c:pt idx="4">
                  <c:v>0.00188679245283022</c:v>
                </c:pt>
                <c:pt idx="5">
                  <c:v>0</c:v>
                </c:pt>
                <c:pt idx="6">
                  <c:v>0.00188679245283022</c:v>
                </c:pt>
                <c:pt idx="7">
                  <c:v>0</c:v>
                </c:pt>
                <c:pt idx="8">
                  <c:v>0.00754716981132073</c:v>
                </c:pt>
                <c:pt idx="9">
                  <c:v>0.00754716981132073</c:v>
                </c:pt>
                <c:pt idx="10">
                  <c:v>0.00754716981132073</c:v>
                </c:pt>
                <c:pt idx="11">
                  <c:v>0.0113207547169812</c:v>
                </c:pt>
                <c:pt idx="12">
                  <c:v>0.00943396226415094</c:v>
                </c:pt>
                <c:pt idx="13">
                  <c:v>0.0169811320754717</c:v>
                </c:pt>
                <c:pt idx="14">
                  <c:v>0.0188679245283019</c:v>
                </c:pt>
                <c:pt idx="15">
                  <c:v>0.0226415094339623</c:v>
                </c:pt>
                <c:pt idx="16">
                  <c:v>0.0245283018867924</c:v>
                </c:pt>
                <c:pt idx="17">
                  <c:v>0.0245283018867924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70554121"/>
        <c:axId val="29886221"/>
      </c:scatterChart>
      <c:valAx>
        <c:axId val="70554121"/>
        <c:scaling>
          <c:orientation val="minMax"/>
          <c:max val="3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B (mT)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29886221"/>
        <c:crosses val="autoZero"/>
        <c:crossBetween val="midCat"/>
      </c:valAx>
      <c:valAx>
        <c:axId val="29886221"/>
        <c:scaling>
          <c:orientation val="minMax"/>
          <c:min val="-0.0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(Rm-R0)/R0 (O)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.00_ 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70554121"/>
        <c:crossesAt val="0"/>
        <c:crossBetween val="midCat"/>
        <c:majorUnit val="0.01"/>
      </c:valAx>
      <c:spPr>
        <a:noFill/>
        <a:ln w="0">
          <a:noFill/>
        </a:ln>
      </c:spPr>
    </c:plotArea>
    <c:plotVisOnly val="1"/>
    <c:dispBlanksAs val="gap"/>
    <c:showDLblsOverMax val="0"/>
  </c:chart>
  <c:spPr>
    <a:solidFill>
      <a:srgbClr val="FFFFFF"/>
    </a:solidFill>
    <a:ln w="9360" cap="flat" cmpd="sng" algn="ctr">
      <a:noFill/>
      <a:prstDash val="solid"/>
      <a:round/>
    </a:ln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80" cap="rnd" cmpd="sng" algn="ctr">
              <a:noFill/>
              <a:prstDash val="solid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s-E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'Exp4'!$E$3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'Exp4'!$E$3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'Exp4'!$E$2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plus>
            <c:minus>
              <c:numRef>
                <c:f>'Exp4'!$E$2</c:f>
                <c:numCache>
                  <c:formatCode>General</c:formatCode>
                  <c:ptCount val="1"/>
                  <c:pt idx="0">
                    <c:v>0.1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'Exp4'!$A$4:$A$70</c:f>
              <c:numCache>
                <c:formatCode>General</c:formatCode>
                <c:ptCount val="67"/>
                <c:pt idx="0">
                  <c:v>29.5</c:v>
                </c:pt>
                <c:pt idx="1">
                  <c:v>31.4</c:v>
                </c:pt>
                <c:pt idx="2">
                  <c:v>33</c:v>
                </c:pt>
                <c:pt idx="3">
                  <c:v>34.8</c:v>
                </c:pt>
                <c:pt idx="4">
                  <c:v>37.6</c:v>
                </c:pt>
                <c:pt idx="5">
                  <c:v>39.5</c:v>
                </c:pt>
                <c:pt idx="6">
                  <c:v>41.5</c:v>
                </c:pt>
                <c:pt idx="7">
                  <c:v>43.7</c:v>
                </c:pt>
                <c:pt idx="8">
                  <c:v>45.9</c:v>
                </c:pt>
                <c:pt idx="9">
                  <c:v>49</c:v>
                </c:pt>
                <c:pt idx="10">
                  <c:v>51.3</c:v>
                </c:pt>
                <c:pt idx="11">
                  <c:v>53.5</c:v>
                </c:pt>
                <c:pt idx="12">
                  <c:v>55.7</c:v>
                </c:pt>
                <c:pt idx="13">
                  <c:v>58.9</c:v>
                </c:pt>
                <c:pt idx="14">
                  <c:v>60.9</c:v>
                </c:pt>
                <c:pt idx="15">
                  <c:v>63.1</c:v>
                </c:pt>
                <c:pt idx="16">
                  <c:v>65.2</c:v>
                </c:pt>
                <c:pt idx="17">
                  <c:v>67.4</c:v>
                </c:pt>
                <c:pt idx="18">
                  <c:v>70.2</c:v>
                </c:pt>
                <c:pt idx="19">
                  <c:v>72.3</c:v>
                </c:pt>
                <c:pt idx="20">
                  <c:v>74.3</c:v>
                </c:pt>
                <c:pt idx="21">
                  <c:v>76.1</c:v>
                </c:pt>
                <c:pt idx="22">
                  <c:v>77.9</c:v>
                </c:pt>
                <c:pt idx="23">
                  <c:v>80.9</c:v>
                </c:pt>
                <c:pt idx="24">
                  <c:v>82.7</c:v>
                </c:pt>
                <c:pt idx="25">
                  <c:v>84.3</c:v>
                </c:pt>
                <c:pt idx="26">
                  <c:v>86</c:v>
                </c:pt>
                <c:pt idx="27">
                  <c:v>87.9</c:v>
                </c:pt>
                <c:pt idx="28">
                  <c:v>90.6</c:v>
                </c:pt>
                <c:pt idx="29">
                  <c:v>92.1</c:v>
                </c:pt>
                <c:pt idx="30">
                  <c:v>93.7</c:v>
                </c:pt>
                <c:pt idx="31">
                  <c:v>95.4</c:v>
                </c:pt>
                <c:pt idx="32">
                  <c:v>97.4</c:v>
                </c:pt>
                <c:pt idx="33">
                  <c:v>99.1</c:v>
                </c:pt>
                <c:pt idx="34">
                  <c:v>100.7</c:v>
                </c:pt>
                <c:pt idx="35">
                  <c:v>102</c:v>
                </c:pt>
                <c:pt idx="36">
                  <c:v>103.1</c:v>
                </c:pt>
                <c:pt idx="37">
                  <c:v>105.8</c:v>
                </c:pt>
                <c:pt idx="38">
                  <c:v>107.1</c:v>
                </c:pt>
                <c:pt idx="39">
                  <c:v>108.4</c:v>
                </c:pt>
                <c:pt idx="40">
                  <c:v>109.9</c:v>
                </c:pt>
                <c:pt idx="41">
                  <c:v>111.8</c:v>
                </c:pt>
                <c:pt idx="42">
                  <c:v>113.2</c:v>
                </c:pt>
                <c:pt idx="43">
                  <c:v>114.1</c:v>
                </c:pt>
                <c:pt idx="44">
                  <c:v>115.1</c:v>
                </c:pt>
                <c:pt idx="45">
                  <c:v>116.9</c:v>
                </c:pt>
                <c:pt idx="46">
                  <c:v>118.1</c:v>
                </c:pt>
                <c:pt idx="47">
                  <c:v>119.3</c:v>
                </c:pt>
                <c:pt idx="48">
                  <c:v>120.5</c:v>
                </c:pt>
                <c:pt idx="49">
                  <c:v>121.5</c:v>
                </c:pt>
                <c:pt idx="50">
                  <c:v>123</c:v>
                </c:pt>
                <c:pt idx="51">
                  <c:v>124.4</c:v>
                </c:pt>
                <c:pt idx="52">
                  <c:v>125.5</c:v>
                </c:pt>
                <c:pt idx="53">
                  <c:v>126</c:v>
                </c:pt>
                <c:pt idx="54">
                  <c:v>128.2</c:v>
                </c:pt>
                <c:pt idx="55">
                  <c:v>129</c:v>
                </c:pt>
                <c:pt idx="56">
                  <c:v>129.9</c:v>
                </c:pt>
                <c:pt idx="57">
                  <c:v>130.7</c:v>
                </c:pt>
                <c:pt idx="58">
                  <c:v>131.6</c:v>
                </c:pt>
                <c:pt idx="59">
                  <c:v>132.7</c:v>
                </c:pt>
                <c:pt idx="60">
                  <c:v>133.7</c:v>
                </c:pt>
                <c:pt idx="61">
                  <c:v>134.3</c:v>
                </c:pt>
                <c:pt idx="62">
                  <c:v>135.6</c:v>
                </c:pt>
                <c:pt idx="63">
                  <c:v>136.6</c:v>
                </c:pt>
                <c:pt idx="64">
                  <c:v>137.3</c:v>
                </c:pt>
                <c:pt idx="65">
                  <c:v>138.1</c:v>
                </c:pt>
                <c:pt idx="66">
                  <c:v>138.8</c:v>
                </c:pt>
              </c:numCache>
            </c:numRef>
          </c:xVal>
          <c:yVal>
            <c:numRef>
              <c:f>'Exp4'!$B$4:$B$70</c:f>
              <c:numCache>
                <c:formatCode>General</c:formatCode>
                <c:ptCount val="67"/>
                <c:pt idx="0">
                  <c:v>47.6</c:v>
                </c:pt>
                <c:pt idx="1">
                  <c:v>51.9</c:v>
                </c:pt>
                <c:pt idx="2">
                  <c:v>52</c:v>
                </c:pt>
                <c:pt idx="3">
                  <c:v>52.1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51.9</c:v>
                </c:pt>
                <c:pt idx="8">
                  <c:v>51.6</c:v>
                </c:pt>
                <c:pt idx="9">
                  <c:v>51.4</c:v>
                </c:pt>
                <c:pt idx="10">
                  <c:v>51.1</c:v>
                </c:pt>
                <c:pt idx="11">
                  <c:v>50.7</c:v>
                </c:pt>
                <c:pt idx="12">
                  <c:v>50.1</c:v>
                </c:pt>
                <c:pt idx="13">
                  <c:v>49.2</c:v>
                </c:pt>
                <c:pt idx="14">
                  <c:v>48.3</c:v>
                </c:pt>
                <c:pt idx="15">
                  <c:v>47.3</c:v>
                </c:pt>
                <c:pt idx="16">
                  <c:v>46.1</c:v>
                </c:pt>
                <c:pt idx="17">
                  <c:v>44.8</c:v>
                </c:pt>
                <c:pt idx="18">
                  <c:v>42.4</c:v>
                </c:pt>
                <c:pt idx="19">
                  <c:v>40.5</c:v>
                </c:pt>
                <c:pt idx="20">
                  <c:v>38.3</c:v>
                </c:pt>
                <c:pt idx="21">
                  <c:v>36.1</c:v>
                </c:pt>
                <c:pt idx="22">
                  <c:v>33.5</c:v>
                </c:pt>
                <c:pt idx="23">
                  <c:v>29.4</c:v>
                </c:pt>
                <c:pt idx="24">
                  <c:v>26.5</c:v>
                </c:pt>
                <c:pt idx="25">
                  <c:v>23.4</c:v>
                </c:pt>
                <c:pt idx="26">
                  <c:v>20.3</c:v>
                </c:pt>
                <c:pt idx="27">
                  <c:v>17.1</c:v>
                </c:pt>
                <c:pt idx="28">
                  <c:v>12.5</c:v>
                </c:pt>
                <c:pt idx="29">
                  <c:v>9.4</c:v>
                </c:pt>
                <c:pt idx="30">
                  <c:v>6.5</c:v>
                </c:pt>
                <c:pt idx="31">
                  <c:v>3.7</c:v>
                </c:pt>
                <c:pt idx="32">
                  <c:v>-0.2</c:v>
                </c:pt>
                <c:pt idx="33">
                  <c:v>-2.6</c:v>
                </c:pt>
                <c:pt idx="34">
                  <c:v>-4.9</c:v>
                </c:pt>
                <c:pt idx="35">
                  <c:v>-6.8</c:v>
                </c:pt>
                <c:pt idx="36">
                  <c:v>-8.6</c:v>
                </c:pt>
                <c:pt idx="37">
                  <c:v>-10.9</c:v>
                </c:pt>
                <c:pt idx="38">
                  <c:v>-12.2</c:v>
                </c:pt>
                <c:pt idx="39">
                  <c:v>-13.4</c:v>
                </c:pt>
                <c:pt idx="40">
                  <c:v>-14.5</c:v>
                </c:pt>
                <c:pt idx="41">
                  <c:v>-15.8</c:v>
                </c:pt>
                <c:pt idx="42">
                  <c:v>-16.6</c:v>
                </c:pt>
                <c:pt idx="43">
                  <c:v>-17.4</c:v>
                </c:pt>
                <c:pt idx="44">
                  <c:v>-17.6</c:v>
                </c:pt>
                <c:pt idx="45">
                  <c:v>-18</c:v>
                </c:pt>
                <c:pt idx="46">
                  <c:v>-18.2</c:v>
                </c:pt>
                <c:pt idx="47">
                  <c:v>-18.4</c:v>
                </c:pt>
                <c:pt idx="48">
                  <c:v>-18.5</c:v>
                </c:pt>
                <c:pt idx="49">
                  <c:v>-18.6</c:v>
                </c:pt>
                <c:pt idx="50">
                  <c:v>-18.7</c:v>
                </c:pt>
                <c:pt idx="51">
                  <c:v>-18.7</c:v>
                </c:pt>
                <c:pt idx="52">
                  <c:v>-18.7</c:v>
                </c:pt>
                <c:pt idx="53">
                  <c:v>-18.7</c:v>
                </c:pt>
                <c:pt idx="54">
                  <c:v>-18.6</c:v>
                </c:pt>
                <c:pt idx="55">
                  <c:v>-18.5</c:v>
                </c:pt>
                <c:pt idx="56">
                  <c:v>-18.4</c:v>
                </c:pt>
                <c:pt idx="57">
                  <c:v>-18.3</c:v>
                </c:pt>
                <c:pt idx="58">
                  <c:v>-18.2</c:v>
                </c:pt>
                <c:pt idx="59">
                  <c:v>-18</c:v>
                </c:pt>
                <c:pt idx="60">
                  <c:v>-17.9</c:v>
                </c:pt>
                <c:pt idx="61">
                  <c:v>-17.7</c:v>
                </c:pt>
                <c:pt idx="62">
                  <c:v>-17.6</c:v>
                </c:pt>
                <c:pt idx="63">
                  <c:v>-17.4</c:v>
                </c:pt>
                <c:pt idx="64">
                  <c:v>-17.2</c:v>
                </c:pt>
                <c:pt idx="65">
                  <c:v>-17</c:v>
                </c:pt>
                <c:pt idx="66">
                  <c:v>-16.9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62141451"/>
        <c:axId val="35865452"/>
      </c:scatterChart>
      <c:valAx>
        <c:axId val="62141451"/>
        <c:scaling>
          <c:orientation val="minMax"/>
          <c:max val="150"/>
          <c:min val="2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T (ºC)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35865452"/>
        <c:crosses val="autoZero"/>
        <c:crossBetween val="midCat"/>
      </c:valAx>
      <c:valAx>
        <c:axId val="3586545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V (mV)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6214145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600" cap="rnd" cmpd="sng" algn="ctr">
              <a:solidFill>
                <a:srgbClr val="5B9BD5"/>
              </a:solidFill>
              <a:prstDash val="sysDot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s-E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'Exp5'!$J$4:$J$64</c:f>
                <c:numCache>
                  <c:formatCode>General</c:formatCode>
                  <c:ptCount val="61"/>
                  <c:pt idx="0">
                    <c:v>0.00609756097560976</c:v>
                  </c:pt>
                  <c:pt idx="1">
                    <c:v>0.00609756097560976</c:v>
                  </c:pt>
                  <c:pt idx="2">
                    <c:v>0.00606060606060606</c:v>
                  </c:pt>
                  <c:pt idx="3">
                    <c:v>0.00606060606060606</c:v>
                  </c:pt>
                  <c:pt idx="4">
                    <c:v>0.00602409638554217</c:v>
                  </c:pt>
                  <c:pt idx="5">
                    <c:v>0.00591715976331361</c:v>
                  </c:pt>
                  <c:pt idx="6">
                    <c:v>0.00584795321637427</c:v>
                  </c:pt>
                  <c:pt idx="7">
                    <c:v>0.00578034682080925</c:v>
                  </c:pt>
                  <c:pt idx="8">
                    <c:v>0.00571428571428571</c:v>
                  </c:pt>
                  <c:pt idx="9">
                    <c:v>0.00561797752808989</c:v>
                  </c:pt>
                  <c:pt idx="10">
                    <c:v>0.00555555555555556</c:v>
                  </c:pt>
                  <c:pt idx="11">
                    <c:v>0.00549450549450549</c:v>
                  </c:pt>
                  <c:pt idx="12">
                    <c:v>0.00543478260869565</c:v>
                  </c:pt>
                  <c:pt idx="13">
                    <c:v>0.0053763440860215</c:v>
                  </c:pt>
                  <c:pt idx="14">
                    <c:v>0.00531914893617021</c:v>
                  </c:pt>
                  <c:pt idx="15">
                    <c:v>0.00529100529100529</c:v>
                  </c:pt>
                  <c:pt idx="16">
                    <c:v>0.00523560209424084</c:v>
                  </c:pt>
                  <c:pt idx="17">
                    <c:v>0.00520833333333333</c:v>
                  </c:pt>
                  <c:pt idx="18">
                    <c:v>0.00523560209424084</c:v>
                  </c:pt>
                  <c:pt idx="19">
                    <c:v>0.00523560209424084</c:v>
                  </c:pt>
                  <c:pt idx="20">
                    <c:v>0.00523560209424084</c:v>
                  </c:pt>
                  <c:pt idx="21">
                    <c:v>0.00529100529100529</c:v>
                  </c:pt>
                  <c:pt idx="22">
                    <c:v>0.0053475935828877</c:v>
                  </c:pt>
                  <c:pt idx="23">
                    <c:v>0.0054054054054054</c:v>
                  </c:pt>
                  <c:pt idx="24">
                    <c:v>0.00549450549450549</c:v>
                  </c:pt>
                  <c:pt idx="25">
                    <c:v>0.00558659217877095</c:v>
                  </c:pt>
                  <c:pt idx="26">
                    <c:v>0.00574712643678161</c:v>
                  </c:pt>
                  <c:pt idx="27">
                    <c:v>0.00591715976331361</c:v>
                  </c:pt>
                  <c:pt idx="28">
                    <c:v>0.00606060606060606</c:v>
                  </c:pt>
                  <c:pt idx="29">
                    <c:v>0.00625</c:v>
                  </c:pt>
                  <c:pt idx="30">
                    <c:v>0.00641025641025641</c:v>
                  </c:pt>
                  <c:pt idx="31">
                    <c:v>0.00675675675675676</c:v>
                  </c:pt>
                  <c:pt idx="32">
                    <c:v>0.00699300699300699</c:v>
                  </c:pt>
                  <c:pt idx="33">
                    <c:v>0.0072463768115942</c:v>
                  </c:pt>
                  <c:pt idx="34">
                    <c:v>0.0075187969924812</c:v>
                  </c:pt>
                  <c:pt idx="35">
                    <c:v>0.00793650793650794</c:v>
                  </c:pt>
                  <c:pt idx="36">
                    <c:v>0.00826446280991736</c:v>
                  </c:pt>
                  <c:pt idx="37">
                    <c:v>0.00854700854700855</c:v>
                  </c:pt>
                  <c:pt idx="38">
                    <c:v>0.00892857142857143</c:v>
                  </c:pt>
                  <c:pt idx="39">
                    <c:v>0.00925925925925926</c:v>
                  </c:pt>
                  <c:pt idx="40">
                    <c:v>0.00980392156862745</c:v>
                  </c:pt>
                  <c:pt idx="41">
                    <c:v>0.0102040816326531</c:v>
                  </c:pt>
                  <c:pt idx="42">
                    <c:v>0.0106382978723404</c:v>
                  </c:pt>
                  <c:pt idx="43">
                    <c:v>0.010989010989011</c:v>
                  </c:pt>
                  <c:pt idx="44">
                    <c:v>0.0116279069767442</c:v>
                  </c:pt>
                  <c:pt idx="45">
                    <c:v>0.0120481927710843</c:v>
                  </c:pt>
                  <c:pt idx="46">
                    <c:v>0.0123456790123457</c:v>
                  </c:pt>
                  <c:pt idx="47">
                    <c:v>0.0128205128205128</c:v>
                  </c:pt>
                  <c:pt idx="48">
                    <c:v>0.0135135135135135</c:v>
                  </c:pt>
                  <c:pt idx="49">
                    <c:v>0.0140845070422535</c:v>
                  </c:pt>
                  <c:pt idx="50">
                    <c:v>0.0144927536231884</c:v>
                  </c:pt>
                  <c:pt idx="51">
                    <c:v>0.0149253731343284</c:v>
                  </c:pt>
                  <c:pt idx="52">
                    <c:v>0.015625</c:v>
                  </c:pt>
                  <c:pt idx="53">
                    <c:v>0.0161290322580645</c:v>
                  </c:pt>
                  <c:pt idx="54">
                    <c:v>0.0163934426229508</c:v>
                  </c:pt>
                  <c:pt idx="55">
                    <c:v>0.0169491525423729</c:v>
                  </c:pt>
                  <c:pt idx="56">
                    <c:v>0.0175438596491228</c:v>
                  </c:pt>
                  <c:pt idx="57">
                    <c:v>0.0181818181818182</c:v>
                  </c:pt>
                  <c:pt idx="58">
                    <c:v>0.0185185185185185</c:v>
                  </c:pt>
                  <c:pt idx="59">
                    <c:v>0.0192307692307692</c:v>
                  </c:pt>
                  <c:pt idx="60">
                    <c:v>0.0196078431372549</c:v>
                  </c:pt>
                </c:numCache>
              </c:numRef>
            </c:plus>
            <c:minus>
              <c:numRef>
                <c:f>'Exp5'!$J$4:$J$64</c:f>
                <c:numCache>
                  <c:formatCode>General</c:formatCode>
                  <c:ptCount val="61"/>
                  <c:pt idx="0">
                    <c:v>0.00609756097560976</c:v>
                  </c:pt>
                  <c:pt idx="1">
                    <c:v>0.00609756097560976</c:v>
                  </c:pt>
                  <c:pt idx="2">
                    <c:v>0.00606060606060606</c:v>
                  </c:pt>
                  <c:pt idx="3">
                    <c:v>0.00606060606060606</c:v>
                  </c:pt>
                  <c:pt idx="4">
                    <c:v>0.00602409638554217</c:v>
                  </c:pt>
                  <c:pt idx="5">
                    <c:v>0.00591715976331361</c:v>
                  </c:pt>
                  <c:pt idx="6">
                    <c:v>0.00584795321637427</c:v>
                  </c:pt>
                  <c:pt idx="7">
                    <c:v>0.00578034682080925</c:v>
                  </c:pt>
                  <c:pt idx="8">
                    <c:v>0.00571428571428571</c:v>
                  </c:pt>
                  <c:pt idx="9">
                    <c:v>0.00561797752808989</c:v>
                  </c:pt>
                  <c:pt idx="10">
                    <c:v>0.00555555555555556</c:v>
                  </c:pt>
                  <c:pt idx="11">
                    <c:v>0.00549450549450549</c:v>
                  </c:pt>
                  <c:pt idx="12">
                    <c:v>0.00543478260869565</c:v>
                  </c:pt>
                  <c:pt idx="13">
                    <c:v>0.0053763440860215</c:v>
                  </c:pt>
                  <c:pt idx="14">
                    <c:v>0.00531914893617021</c:v>
                  </c:pt>
                  <c:pt idx="15">
                    <c:v>0.00529100529100529</c:v>
                  </c:pt>
                  <c:pt idx="16">
                    <c:v>0.00523560209424084</c:v>
                  </c:pt>
                  <c:pt idx="17">
                    <c:v>0.00520833333333333</c:v>
                  </c:pt>
                  <c:pt idx="18">
                    <c:v>0.00523560209424084</c:v>
                  </c:pt>
                  <c:pt idx="19">
                    <c:v>0.00523560209424084</c:v>
                  </c:pt>
                  <c:pt idx="20">
                    <c:v>0.00523560209424084</c:v>
                  </c:pt>
                  <c:pt idx="21">
                    <c:v>0.00529100529100529</c:v>
                  </c:pt>
                  <c:pt idx="22">
                    <c:v>0.0053475935828877</c:v>
                  </c:pt>
                  <c:pt idx="23">
                    <c:v>0.0054054054054054</c:v>
                  </c:pt>
                  <c:pt idx="24">
                    <c:v>0.00549450549450549</c:v>
                  </c:pt>
                  <c:pt idx="25">
                    <c:v>0.00558659217877095</c:v>
                  </c:pt>
                  <c:pt idx="26">
                    <c:v>0.00574712643678161</c:v>
                  </c:pt>
                  <c:pt idx="27">
                    <c:v>0.00591715976331361</c:v>
                  </c:pt>
                  <c:pt idx="28">
                    <c:v>0.00606060606060606</c:v>
                  </c:pt>
                  <c:pt idx="29">
                    <c:v>0.00625</c:v>
                  </c:pt>
                  <c:pt idx="30">
                    <c:v>0.00641025641025641</c:v>
                  </c:pt>
                  <c:pt idx="31">
                    <c:v>0.00675675675675676</c:v>
                  </c:pt>
                  <c:pt idx="32">
                    <c:v>0.00699300699300699</c:v>
                  </c:pt>
                  <c:pt idx="33">
                    <c:v>0.0072463768115942</c:v>
                  </c:pt>
                  <c:pt idx="34">
                    <c:v>0.0075187969924812</c:v>
                  </c:pt>
                  <c:pt idx="35">
                    <c:v>0.00793650793650794</c:v>
                  </c:pt>
                  <c:pt idx="36">
                    <c:v>0.00826446280991736</c:v>
                  </c:pt>
                  <c:pt idx="37">
                    <c:v>0.00854700854700855</c:v>
                  </c:pt>
                  <c:pt idx="38">
                    <c:v>0.00892857142857143</c:v>
                  </c:pt>
                  <c:pt idx="39">
                    <c:v>0.00925925925925926</c:v>
                  </c:pt>
                  <c:pt idx="40">
                    <c:v>0.00980392156862745</c:v>
                  </c:pt>
                  <c:pt idx="41">
                    <c:v>0.0102040816326531</c:v>
                  </c:pt>
                  <c:pt idx="42">
                    <c:v>0.0106382978723404</c:v>
                  </c:pt>
                  <c:pt idx="43">
                    <c:v>0.010989010989011</c:v>
                  </c:pt>
                  <c:pt idx="44">
                    <c:v>0.0116279069767442</c:v>
                  </c:pt>
                  <c:pt idx="45">
                    <c:v>0.0120481927710843</c:v>
                  </c:pt>
                  <c:pt idx="46">
                    <c:v>0.0123456790123457</c:v>
                  </c:pt>
                  <c:pt idx="47">
                    <c:v>0.0128205128205128</c:v>
                  </c:pt>
                  <c:pt idx="48">
                    <c:v>0.0135135135135135</c:v>
                  </c:pt>
                  <c:pt idx="49">
                    <c:v>0.0140845070422535</c:v>
                  </c:pt>
                  <c:pt idx="50">
                    <c:v>0.0144927536231884</c:v>
                  </c:pt>
                  <c:pt idx="51">
                    <c:v>0.0149253731343284</c:v>
                  </c:pt>
                  <c:pt idx="52">
                    <c:v>0.015625</c:v>
                  </c:pt>
                  <c:pt idx="53">
                    <c:v>0.0161290322580645</c:v>
                  </c:pt>
                  <c:pt idx="54">
                    <c:v>0.0163934426229508</c:v>
                  </c:pt>
                  <c:pt idx="55">
                    <c:v>0.0169491525423729</c:v>
                  </c:pt>
                  <c:pt idx="56">
                    <c:v>0.0175438596491228</c:v>
                  </c:pt>
                  <c:pt idx="57">
                    <c:v>0.0181818181818182</c:v>
                  </c:pt>
                  <c:pt idx="58">
                    <c:v>0.0185185185185185</c:v>
                  </c:pt>
                  <c:pt idx="59">
                    <c:v>0.0192307692307692</c:v>
                  </c:pt>
                  <c:pt idx="60">
                    <c:v>0.0196078431372549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'Exp5'!$I$4:$I$64</c:f>
                <c:numCache>
                  <c:formatCode>General</c:formatCode>
                  <c:ptCount val="61"/>
                  <c:pt idx="0">
                    <c:v>1.06796531248665e-6</c:v>
                  </c:pt>
                  <c:pt idx="1">
                    <c:v>1.06309591176899e-6</c:v>
                  </c:pt>
                  <c:pt idx="2">
                    <c:v>1.0561971894804e-6</c:v>
                  </c:pt>
                  <c:pt idx="3">
                    <c:v>1.0466512341431e-6</c:v>
                  </c:pt>
                  <c:pt idx="4">
                    <c:v>1.03656632842816e-6</c:v>
                  </c:pt>
                  <c:pt idx="5">
                    <c:v>1.0181271429031e-6</c:v>
                  </c:pt>
                  <c:pt idx="6">
                    <c:v>1.00525587984217e-6</c:v>
                  </c:pt>
                  <c:pt idx="7">
                    <c:v>9.9137739596089e-7</c:v>
                  </c:pt>
                  <c:pt idx="8">
                    <c:v>9.79621425300193e-7</c:v>
                  </c:pt>
                  <c:pt idx="9">
                    <c:v>9.6028925448808e-7</c:v>
                  </c:pt>
                  <c:pt idx="10">
                    <c:v>9.47328443792304e-7</c:v>
                  </c:pt>
                  <c:pt idx="11">
                    <c:v>9.34628267028156e-7</c:v>
                  </c:pt>
                  <c:pt idx="12">
                    <c:v>9.22742123842328e-7</c:v>
                  </c:pt>
                  <c:pt idx="13">
                    <c:v>9.03429771751179e-7</c:v>
                  </c:pt>
                  <c:pt idx="14">
                    <c:v>8.92131967015383e-7</c:v>
                  </c:pt>
                  <c:pt idx="15">
                    <c:v>8.79999640960146e-7</c:v>
                  </c:pt>
                  <c:pt idx="16">
                    <c:v>8.69649838101638e-7</c:v>
                  </c:pt>
                  <c:pt idx="17">
                    <c:v>8.53465955115031e-7</c:v>
                  </c:pt>
                  <c:pt idx="18">
                    <c:v>8.42600179895138e-7</c:v>
                  </c:pt>
                  <c:pt idx="19">
                    <c:v>8.33382225090539e-7</c:v>
                  </c:pt>
                  <c:pt idx="20">
                    <c:v>8.22896536560141e-7</c:v>
                  </c:pt>
                  <c:pt idx="21">
                    <c:v>8.13999157510872e-7</c:v>
                  </c:pt>
                  <c:pt idx="22">
                    <c:v>7.99336934026486e-7</c:v>
                  </c:pt>
                  <c:pt idx="23">
                    <c:v>7.912628753306e-7</c:v>
                  </c:pt>
                  <c:pt idx="24">
                    <c:v>7.82872258107347e-7</c:v>
                  </c:pt>
                  <c:pt idx="25">
                    <c:v>7.74614398888769e-7</c:v>
                  </c:pt>
                  <c:pt idx="26">
                    <c:v>7.63524247735826e-7</c:v>
                  </c:pt>
                  <c:pt idx="27">
                    <c:v>7.5598538196426e-7</c:v>
                  </c:pt>
                  <c:pt idx="28">
                    <c:v>7.48557623030124e-7</c:v>
                  </c:pt>
                  <c:pt idx="29">
                    <c:v>7.42046687945103e-7</c:v>
                  </c:pt>
                  <c:pt idx="30">
                    <c:v>7.34822912454448e-7</c:v>
                  </c:pt>
                  <c:pt idx="31">
                    <c:v>7.24183439720708e-7</c:v>
                  </c:pt>
                  <c:pt idx="32">
                    <c:v>7.18372174399787e-7</c:v>
                  </c:pt>
                  <c:pt idx="33">
                    <c:v>7.12630578864118e-7</c:v>
                  </c:pt>
                  <c:pt idx="34">
                    <c:v>7.06581752497979e-7</c:v>
                  </c:pt>
                  <c:pt idx="35">
                    <c:v>6.98389569523844e-7</c:v>
                  </c:pt>
                  <c:pt idx="36">
                    <c:v>6.92885404168025e-7</c:v>
                  </c:pt>
                  <c:pt idx="37">
                    <c:v>6.86725648159136e-7</c:v>
                  </c:pt>
                  <c:pt idx="38">
                    <c:v>6.81714375311032e-7</c:v>
                  </c:pt>
                  <c:pt idx="39">
                    <c:v>6.76757756455998e-7</c:v>
                  </c:pt>
                  <c:pt idx="40">
                    <c:v>6.69770113464415e-7</c:v>
                  </c:pt>
                  <c:pt idx="41">
                    <c:v>6.64942957203473e-7</c:v>
                  </c:pt>
                  <c:pt idx="42">
                    <c:v>6.60167798810431e-7</c:v>
                  </c:pt>
                  <c:pt idx="43">
                    <c:v>6.56115627519484e-7</c:v>
                  </c:pt>
                  <c:pt idx="44">
                    <c:v>6.49444439248889e-7</c:v>
                  </c:pt>
                  <c:pt idx="45">
                    <c:v>6.45818566960891e-7</c:v>
                  </c:pt>
                  <c:pt idx="46">
                    <c:v>6.41897593070176e-7</c:v>
                  </c:pt>
                  <c:pt idx="47">
                    <c:v>6.37690031629426e-7</c:v>
                  </c:pt>
                  <c:pt idx="48">
                    <c:v>6.31932137566065e-7</c:v>
                  </c:pt>
                  <c:pt idx="49">
                    <c:v>6.28451731859002e-7</c:v>
                  </c:pt>
                  <c:pt idx="50">
                    <c:v>6.25e-7</c:v>
                  </c:pt>
                  <c:pt idx="51">
                    <c:v>6.21576627873448e-7</c:v>
                  </c:pt>
                  <c:pt idx="52">
                    <c:v>6.16647167255493e-7</c:v>
                  </c:pt>
                  <c:pt idx="53">
                    <c:v>6.13292100478834e-7</c:v>
                  </c:pt>
                  <c:pt idx="54">
                    <c:v>6.09964340874668e-7</c:v>
                  </c:pt>
                  <c:pt idx="55">
                    <c:v>6.07561134775955e-7</c:v>
                  </c:pt>
                  <c:pt idx="56">
                    <c:v>6.0427984828225e-7</c:v>
                  </c:pt>
                  <c:pt idx="57">
                    <c:v>6.00141969584325e-7</c:v>
                  </c:pt>
                  <c:pt idx="58">
                    <c:v>5.97212308497901e-7</c:v>
                  </c:pt>
                  <c:pt idx="59">
                    <c:v>5.94304047376968e-7</c:v>
                  </c:pt>
                  <c:pt idx="60">
                    <c:v>5.91416978303986e-7</c:v>
                  </c:pt>
                </c:numCache>
              </c:numRef>
            </c:plus>
            <c:minus>
              <c:numRef>
                <c:f>'Exp5'!$I$4:$I$64</c:f>
                <c:numCache>
                  <c:formatCode>General</c:formatCode>
                  <c:ptCount val="61"/>
                  <c:pt idx="0">
                    <c:v>1.06796531248665e-6</c:v>
                  </c:pt>
                  <c:pt idx="1">
                    <c:v>1.06309591176899e-6</c:v>
                  </c:pt>
                  <c:pt idx="2">
                    <c:v>1.0561971894804e-6</c:v>
                  </c:pt>
                  <c:pt idx="3">
                    <c:v>1.0466512341431e-6</c:v>
                  </c:pt>
                  <c:pt idx="4">
                    <c:v>1.03656632842816e-6</c:v>
                  </c:pt>
                  <c:pt idx="5">
                    <c:v>1.0181271429031e-6</c:v>
                  </c:pt>
                  <c:pt idx="6">
                    <c:v>1.00525587984217e-6</c:v>
                  </c:pt>
                  <c:pt idx="7">
                    <c:v>9.9137739596089e-7</c:v>
                  </c:pt>
                  <c:pt idx="8">
                    <c:v>9.79621425300193e-7</c:v>
                  </c:pt>
                  <c:pt idx="9">
                    <c:v>9.6028925448808e-7</c:v>
                  </c:pt>
                  <c:pt idx="10">
                    <c:v>9.47328443792304e-7</c:v>
                  </c:pt>
                  <c:pt idx="11">
                    <c:v>9.34628267028156e-7</c:v>
                  </c:pt>
                  <c:pt idx="12">
                    <c:v>9.22742123842328e-7</c:v>
                  </c:pt>
                  <c:pt idx="13">
                    <c:v>9.03429771751179e-7</c:v>
                  </c:pt>
                  <c:pt idx="14">
                    <c:v>8.92131967015383e-7</c:v>
                  </c:pt>
                  <c:pt idx="15">
                    <c:v>8.79999640960146e-7</c:v>
                  </c:pt>
                  <c:pt idx="16">
                    <c:v>8.69649838101638e-7</c:v>
                  </c:pt>
                  <c:pt idx="17">
                    <c:v>8.53465955115031e-7</c:v>
                  </c:pt>
                  <c:pt idx="18">
                    <c:v>8.42600179895138e-7</c:v>
                  </c:pt>
                  <c:pt idx="19">
                    <c:v>8.33382225090539e-7</c:v>
                  </c:pt>
                  <c:pt idx="20">
                    <c:v>8.22896536560141e-7</c:v>
                  </c:pt>
                  <c:pt idx="21">
                    <c:v>8.13999157510872e-7</c:v>
                  </c:pt>
                  <c:pt idx="22">
                    <c:v>7.99336934026486e-7</c:v>
                  </c:pt>
                  <c:pt idx="23">
                    <c:v>7.912628753306e-7</c:v>
                  </c:pt>
                  <c:pt idx="24">
                    <c:v>7.82872258107347e-7</c:v>
                  </c:pt>
                  <c:pt idx="25">
                    <c:v>7.74614398888769e-7</c:v>
                  </c:pt>
                  <c:pt idx="26">
                    <c:v>7.63524247735826e-7</c:v>
                  </c:pt>
                  <c:pt idx="27">
                    <c:v>7.5598538196426e-7</c:v>
                  </c:pt>
                  <c:pt idx="28">
                    <c:v>7.48557623030124e-7</c:v>
                  </c:pt>
                  <c:pt idx="29">
                    <c:v>7.42046687945103e-7</c:v>
                  </c:pt>
                  <c:pt idx="30">
                    <c:v>7.34822912454448e-7</c:v>
                  </c:pt>
                  <c:pt idx="31">
                    <c:v>7.24183439720708e-7</c:v>
                  </c:pt>
                  <c:pt idx="32">
                    <c:v>7.18372174399787e-7</c:v>
                  </c:pt>
                  <c:pt idx="33">
                    <c:v>7.12630578864118e-7</c:v>
                  </c:pt>
                  <c:pt idx="34">
                    <c:v>7.06581752497979e-7</c:v>
                  </c:pt>
                  <c:pt idx="35">
                    <c:v>6.98389569523844e-7</c:v>
                  </c:pt>
                  <c:pt idx="36">
                    <c:v>6.92885404168025e-7</c:v>
                  </c:pt>
                  <c:pt idx="37">
                    <c:v>6.86725648159136e-7</c:v>
                  </c:pt>
                  <c:pt idx="38">
                    <c:v>6.81714375311032e-7</c:v>
                  </c:pt>
                  <c:pt idx="39">
                    <c:v>6.76757756455998e-7</c:v>
                  </c:pt>
                  <c:pt idx="40">
                    <c:v>6.69770113464415e-7</c:v>
                  </c:pt>
                  <c:pt idx="41">
                    <c:v>6.64942957203473e-7</c:v>
                  </c:pt>
                  <c:pt idx="42">
                    <c:v>6.60167798810431e-7</c:v>
                  </c:pt>
                  <c:pt idx="43">
                    <c:v>6.56115627519484e-7</c:v>
                  </c:pt>
                  <c:pt idx="44">
                    <c:v>6.49444439248889e-7</c:v>
                  </c:pt>
                  <c:pt idx="45">
                    <c:v>6.45818566960891e-7</c:v>
                  </c:pt>
                  <c:pt idx="46">
                    <c:v>6.41897593070176e-7</c:v>
                  </c:pt>
                  <c:pt idx="47">
                    <c:v>6.37690031629426e-7</c:v>
                  </c:pt>
                  <c:pt idx="48">
                    <c:v>6.31932137566065e-7</c:v>
                  </c:pt>
                  <c:pt idx="49">
                    <c:v>6.28451731859002e-7</c:v>
                  </c:pt>
                  <c:pt idx="50">
                    <c:v>6.25e-7</c:v>
                  </c:pt>
                  <c:pt idx="51">
                    <c:v>6.21576627873448e-7</c:v>
                  </c:pt>
                  <c:pt idx="52">
                    <c:v>6.16647167255493e-7</c:v>
                  </c:pt>
                  <c:pt idx="53">
                    <c:v>6.13292100478834e-7</c:v>
                  </c:pt>
                  <c:pt idx="54">
                    <c:v>6.09964340874668e-7</c:v>
                  </c:pt>
                  <c:pt idx="55">
                    <c:v>6.07561134775955e-7</c:v>
                  </c:pt>
                  <c:pt idx="56">
                    <c:v>6.0427984828225e-7</c:v>
                  </c:pt>
                  <c:pt idx="57">
                    <c:v>6.00141969584325e-7</c:v>
                  </c:pt>
                  <c:pt idx="58">
                    <c:v>5.97212308497901e-7</c:v>
                  </c:pt>
                  <c:pt idx="59">
                    <c:v>5.94304047376968e-7</c:v>
                  </c:pt>
                  <c:pt idx="60">
                    <c:v>5.91416978303986e-7</c:v>
                  </c:pt>
                </c:numCache>
              </c:numRef>
            </c:minus>
            <c:spPr>
              <a:ln w="9360" cap="flat" cmpd="sng" algn="ctr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'Exp5'!$G$4:$G$64</c:f>
              <c:numCache>
                <c:formatCode>0.0000_ </c:formatCode>
                <c:ptCount val="61"/>
                <c:pt idx="0">
                  <c:v>0.00326797385620915</c:v>
                </c:pt>
                <c:pt idx="1">
                  <c:v>0.0032605151613955</c:v>
                </c:pt>
                <c:pt idx="2">
                  <c:v>0.0032499187520312</c:v>
                </c:pt>
                <c:pt idx="3">
                  <c:v>0.00323519896473633</c:v>
                </c:pt>
                <c:pt idx="4">
                  <c:v>0.00321957501609787</c:v>
                </c:pt>
                <c:pt idx="5">
                  <c:v>0.00319081046585833</c:v>
                </c:pt>
                <c:pt idx="6">
                  <c:v>0.00317057704502219</c:v>
                </c:pt>
                <c:pt idx="7">
                  <c:v>0.00314861460957179</c:v>
                </c:pt>
                <c:pt idx="8">
                  <c:v>0.00312989045383412</c:v>
                </c:pt>
                <c:pt idx="9">
                  <c:v>0.00309885342423303</c:v>
                </c:pt>
                <c:pt idx="10">
                  <c:v>0.00307787011388119</c:v>
                </c:pt>
                <c:pt idx="11">
                  <c:v>0.0030571690614491</c:v>
                </c:pt>
                <c:pt idx="12">
                  <c:v>0.00303766707168894</c:v>
                </c:pt>
                <c:pt idx="13">
                  <c:v>0.00300571085061617</c:v>
                </c:pt>
                <c:pt idx="14">
                  <c:v>0.0029868578255675</c:v>
                </c:pt>
                <c:pt idx="15">
                  <c:v>0.00296647878967665</c:v>
                </c:pt>
                <c:pt idx="16">
                  <c:v>0.00294898260100265</c:v>
                </c:pt>
                <c:pt idx="17">
                  <c:v>0.00292141396435875</c:v>
                </c:pt>
                <c:pt idx="18">
                  <c:v>0.00290275761973875</c:v>
                </c:pt>
                <c:pt idx="19">
                  <c:v>0.00288683602771363</c:v>
                </c:pt>
                <c:pt idx="20">
                  <c:v>0.00286861732644865</c:v>
                </c:pt>
                <c:pt idx="21">
                  <c:v>0.00285306704707561</c:v>
                </c:pt>
                <c:pt idx="22">
                  <c:v>0.00282725473565168</c:v>
                </c:pt>
                <c:pt idx="23">
                  <c:v>0.00281293952180028</c:v>
                </c:pt>
                <c:pt idx="24">
                  <c:v>0.00279798545047566</c:v>
                </c:pt>
                <c:pt idx="25">
                  <c:v>0.00278318953520735</c:v>
                </c:pt>
                <c:pt idx="26">
                  <c:v>0.00276319425255595</c:v>
                </c:pt>
                <c:pt idx="27">
                  <c:v>0.00274951883420401</c:v>
                </c:pt>
                <c:pt idx="28">
                  <c:v>0.0027359781121751</c:v>
                </c:pt>
                <c:pt idx="29">
                  <c:v>0.00272405339144647</c:v>
                </c:pt>
                <c:pt idx="30">
                  <c:v>0.00271076172404446</c:v>
                </c:pt>
                <c:pt idx="31">
                  <c:v>0.00269106566200215</c:v>
                </c:pt>
                <c:pt idx="32">
                  <c:v>0.00268024658268561</c:v>
                </c:pt>
                <c:pt idx="33">
                  <c:v>0.00266951414842499</c:v>
                </c:pt>
                <c:pt idx="34">
                  <c:v>0.0026581605528974</c:v>
                </c:pt>
                <c:pt idx="35">
                  <c:v>0.00264270613107822</c:v>
                </c:pt>
                <c:pt idx="36">
                  <c:v>0.00263227165043433</c:v>
                </c:pt>
                <c:pt idx="37">
                  <c:v>0.00262054507337526</c:v>
                </c:pt>
                <c:pt idx="38">
                  <c:v>0.00261096605744125</c:v>
                </c:pt>
                <c:pt idx="39">
                  <c:v>0.00260145681581686</c:v>
                </c:pt>
                <c:pt idx="40">
                  <c:v>0.0025879917184265</c:v>
                </c:pt>
                <c:pt idx="41">
                  <c:v>0.00257864878803507</c:v>
                </c:pt>
                <c:pt idx="42">
                  <c:v>0.0025693730729702</c:v>
                </c:pt>
                <c:pt idx="43">
                  <c:v>0.00256147540983607</c:v>
                </c:pt>
                <c:pt idx="44">
                  <c:v>0.00254841997961264</c:v>
                </c:pt>
                <c:pt idx="45">
                  <c:v>0.00254129606099111</c:v>
                </c:pt>
                <c:pt idx="46">
                  <c:v>0.00253356979984799</c:v>
                </c:pt>
                <c:pt idx="47">
                  <c:v>0.00252525252525253</c:v>
                </c:pt>
                <c:pt idx="48">
                  <c:v>0.00251382604323781</c:v>
                </c:pt>
                <c:pt idx="49">
                  <c:v>0.00250689395838556</c:v>
                </c:pt>
                <c:pt idx="50">
                  <c:v>0.0025</c:v>
                </c:pt>
                <c:pt idx="51">
                  <c:v>0.0024931438544004</c:v>
                </c:pt>
                <c:pt idx="52">
                  <c:v>0.00248323814253787</c:v>
                </c:pt>
                <c:pt idx="53">
                  <c:v>0.00247647350173353</c:v>
                </c:pt>
                <c:pt idx="54">
                  <c:v>0.00246974561620153</c:v>
                </c:pt>
                <c:pt idx="55">
                  <c:v>0.00246487552378605</c:v>
                </c:pt>
                <c:pt idx="56">
                  <c:v>0.00245821042281219</c:v>
                </c:pt>
                <c:pt idx="57">
                  <c:v>0.00244977951984321</c:v>
                </c:pt>
                <c:pt idx="58">
                  <c:v>0.00244379276637341</c:v>
                </c:pt>
                <c:pt idx="59">
                  <c:v>0.00243783520234032</c:v>
                </c:pt>
                <c:pt idx="60">
                  <c:v>0.00243190661478599</c:v>
                </c:pt>
              </c:numCache>
            </c:numRef>
          </c:xVal>
          <c:yVal>
            <c:numRef>
              <c:f>'Exp5'!$H$4:$H$64</c:f>
              <c:numCache>
                <c:formatCode>0.000_ </c:formatCode>
                <c:ptCount val="61"/>
                <c:pt idx="0">
                  <c:v>-0.494696241836107</c:v>
                </c:pt>
                <c:pt idx="1">
                  <c:v>-0.494696241836107</c:v>
                </c:pt>
                <c:pt idx="2">
                  <c:v>-0.500775287912489</c:v>
                </c:pt>
                <c:pt idx="3">
                  <c:v>-0.500775287912489</c:v>
                </c:pt>
                <c:pt idx="4">
                  <c:v>-0.506817602368452</c:v>
                </c:pt>
                <c:pt idx="5">
                  <c:v>-0.524728528934982</c:v>
                </c:pt>
                <c:pt idx="6">
                  <c:v>-0.536493370514569</c:v>
                </c:pt>
                <c:pt idx="7">
                  <c:v>-0.548121408509687</c:v>
                </c:pt>
                <c:pt idx="8">
                  <c:v>-0.559615787935423</c:v>
                </c:pt>
                <c:pt idx="9">
                  <c:v>-0.576613364303994</c:v>
                </c:pt>
                <c:pt idx="10">
                  <c:v>-0.587786664902119</c:v>
                </c:pt>
                <c:pt idx="11">
                  <c:v>-0.598836501088704</c:v>
                </c:pt>
                <c:pt idx="12">
                  <c:v>-0.609765571620894</c:v>
                </c:pt>
                <c:pt idx="13">
                  <c:v>-0.62057648772511</c:v>
                </c:pt>
                <c:pt idx="14">
                  <c:v>-0.631271776841858</c:v>
                </c:pt>
                <c:pt idx="15">
                  <c:v>-0.636576829071551</c:v>
                </c:pt>
                <c:pt idx="16">
                  <c:v>-0.647103242058539</c:v>
                </c:pt>
                <c:pt idx="17">
                  <c:v>-0.65232518603969</c:v>
                </c:pt>
                <c:pt idx="18">
                  <c:v>-0.647103242058539</c:v>
                </c:pt>
                <c:pt idx="19">
                  <c:v>-0.647103242058539</c:v>
                </c:pt>
                <c:pt idx="20">
                  <c:v>-0.647103242058539</c:v>
                </c:pt>
                <c:pt idx="21">
                  <c:v>-0.636576829071551</c:v>
                </c:pt>
                <c:pt idx="22">
                  <c:v>-0.625938430866495</c:v>
                </c:pt>
                <c:pt idx="23">
                  <c:v>-0.615185639090234</c:v>
                </c:pt>
                <c:pt idx="24">
                  <c:v>-0.598836501088704</c:v>
                </c:pt>
                <c:pt idx="25">
                  <c:v>-0.582215619852664</c:v>
                </c:pt>
                <c:pt idx="26">
                  <c:v>-0.553885113226438</c:v>
                </c:pt>
                <c:pt idx="27">
                  <c:v>-0.524728528934982</c:v>
                </c:pt>
                <c:pt idx="28">
                  <c:v>-0.500775287912489</c:v>
                </c:pt>
                <c:pt idx="29">
                  <c:v>-0.470003629245736</c:v>
                </c:pt>
                <c:pt idx="30">
                  <c:v>-0.444685821261446</c:v>
                </c:pt>
                <c:pt idx="31">
                  <c:v>-0.392042087776024</c:v>
                </c:pt>
                <c:pt idx="32">
                  <c:v>-0.357674444271816</c:v>
                </c:pt>
                <c:pt idx="33">
                  <c:v>-0.322083499169113</c:v>
                </c:pt>
                <c:pt idx="34">
                  <c:v>-0.285178942233662</c:v>
                </c:pt>
                <c:pt idx="35">
                  <c:v>-0.231111720963387</c:v>
                </c:pt>
                <c:pt idx="36">
                  <c:v>-0.19062035960865</c:v>
                </c:pt>
                <c:pt idx="37">
                  <c:v>-0.157003748809665</c:v>
                </c:pt>
                <c:pt idx="38">
                  <c:v>-0.113328685307003</c:v>
                </c:pt>
                <c:pt idx="39">
                  <c:v>-0.0769610411361284</c:v>
                </c:pt>
                <c:pt idx="40">
                  <c:v>-0.0198026272961798</c:v>
                </c:pt>
                <c:pt idx="41">
                  <c:v>0.0202027073175195</c:v>
                </c:pt>
                <c:pt idx="42">
                  <c:v>0.0618754037180875</c:v>
                </c:pt>
                <c:pt idx="43">
                  <c:v>0.0943106794712412</c:v>
                </c:pt>
                <c:pt idx="44">
                  <c:v>0.150822889734584</c:v>
                </c:pt>
                <c:pt idx="45">
                  <c:v>0.186329578191494</c:v>
                </c:pt>
                <c:pt idx="46">
                  <c:v>0.210721031315653</c:v>
                </c:pt>
                <c:pt idx="47">
                  <c:v>0.2484613592985</c:v>
                </c:pt>
                <c:pt idx="48">
                  <c:v>0.301105092783922</c:v>
                </c:pt>
                <c:pt idx="49">
                  <c:v>0.342490308946776</c:v>
                </c:pt>
                <c:pt idx="50">
                  <c:v>0.371063681390832</c:v>
                </c:pt>
                <c:pt idx="51">
                  <c:v>0.400477566597125</c:v>
                </c:pt>
                <c:pt idx="52">
                  <c:v>0.44628710262842</c:v>
                </c:pt>
                <c:pt idx="53">
                  <c:v>0.478035800943</c:v>
                </c:pt>
                <c:pt idx="54">
                  <c:v>0.49429632181478</c:v>
                </c:pt>
                <c:pt idx="55">
                  <c:v>0.527632742082372</c:v>
                </c:pt>
                <c:pt idx="56">
                  <c:v>0.562118918153541</c:v>
                </c:pt>
                <c:pt idx="57">
                  <c:v>0.59783700075562</c:v>
                </c:pt>
                <c:pt idx="58">
                  <c:v>0.616186139423817</c:v>
                </c:pt>
                <c:pt idx="59">
                  <c:v>0.653926467406664</c:v>
                </c:pt>
                <c:pt idx="60">
                  <c:v>0.673344553263766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"recta"</c:f>
              <c:strCache>
                <c:ptCount val="1"/>
                <c:pt idx="0">
                  <c:v>recta</c:v>
                </c:pt>
              </c:strCache>
            </c:strRef>
          </c:tx>
          <c:spPr>
            <a:ln w="19080" cap="rnd" cmpd="sng" algn="ctr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3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s-E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trendline>
            <c:spPr>
              <a:ln w="12600" cap="rnd" cmpd="sng" algn="ctr">
                <a:solidFill>
                  <a:srgbClr val="FF0000"/>
                </a:solidFill>
                <a:prstDash val="solid"/>
                <a:round/>
              </a:ln>
            </c:spPr>
            <c:trendlineType val="linear"/>
            <c:forward val="0"/>
            <c:backward val="0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'Exp5'!$G$35:$G$64</c:f>
              <c:numCache>
                <c:formatCode>0.0000_ </c:formatCode>
                <c:ptCount val="30"/>
                <c:pt idx="0">
                  <c:v>0.00269106566200215</c:v>
                </c:pt>
                <c:pt idx="1">
                  <c:v>0.00268024658268561</c:v>
                </c:pt>
                <c:pt idx="2">
                  <c:v>0.00266951414842499</c:v>
                </c:pt>
                <c:pt idx="3">
                  <c:v>0.0026581605528974</c:v>
                </c:pt>
                <c:pt idx="4">
                  <c:v>0.00264270613107822</c:v>
                </c:pt>
                <c:pt idx="5">
                  <c:v>0.00263227165043433</c:v>
                </c:pt>
                <c:pt idx="6">
                  <c:v>0.00262054507337526</c:v>
                </c:pt>
                <c:pt idx="7">
                  <c:v>0.00261096605744125</c:v>
                </c:pt>
                <c:pt idx="8">
                  <c:v>0.00260145681581686</c:v>
                </c:pt>
                <c:pt idx="9">
                  <c:v>0.0025879917184265</c:v>
                </c:pt>
                <c:pt idx="10">
                  <c:v>0.00257864878803507</c:v>
                </c:pt>
                <c:pt idx="11">
                  <c:v>0.0025693730729702</c:v>
                </c:pt>
                <c:pt idx="12">
                  <c:v>0.00256147540983607</c:v>
                </c:pt>
                <c:pt idx="13">
                  <c:v>0.00254841997961264</c:v>
                </c:pt>
                <c:pt idx="14">
                  <c:v>0.00254129606099111</c:v>
                </c:pt>
                <c:pt idx="15">
                  <c:v>0.00253356979984799</c:v>
                </c:pt>
                <c:pt idx="16">
                  <c:v>0.00252525252525253</c:v>
                </c:pt>
                <c:pt idx="17">
                  <c:v>0.00251382604323781</c:v>
                </c:pt>
                <c:pt idx="18">
                  <c:v>0.00250689395838556</c:v>
                </c:pt>
                <c:pt idx="19">
                  <c:v>0.0025</c:v>
                </c:pt>
                <c:pt idx="20">
                  <c:v>0.0024931438544004</c:v>
                </c:pt>
                <c:pt idx="21">
                  <c:v>0.00248323814253787</c:v>
                </c:pt>
                <c:pt idx="22">
                  <c:v>0.00247647350173353</c:v>
                </c:pt>
                <c:pt idx="23">
                  <c:v>0.00246974561620153</c:v>
                </c:pt>
                <c:pt idx="24">
                  <c:v>0.00246487552378605</c:v>
                </c:pt>
                <c:pt idx="25">
                  <c:v>0.00245821042281219</c:v>
                </c:pt>
                <c:pt idx="26">
                  <c:v>0.00244977951984321</c:v>
                </c:pt>
                <c:pt idx="27">
                  <c:v>0.00244379276637341</c:v>
                </c:pt>
                <c:pt idx="28">
                  <c:v>0.00243783520234032</c:v>
                </c:pt>
                <c:pt idx="29">
                  <c:v>0.00243190661478599</c:v>
                </c:pt>
              </c:numCache>
            </c:numRef>
          </c:xVal>
          <c:yVal>
            <c:numRef>
              <c:f>'Exp5'!$H$35:$H$64</c:f>
              <c:numCache>
                <c:formatCode>0.000_ </c:formatCode>
                <c:ptCount val="30"/>
                <c:pt idx="0">
                  <c:v>-0.392042087776024</c:v>
                </c:pt>
                <c:pt idx="1">
                  <c:v>-0.357674444271816</c:v>
                </c:pt>
                <c:pt idx="2">
                  <c:v>-0.322083499169113</c:v>
                </c:pt>
                <c:pt idx="3">
                  <c:v>-0.285178942233662</c:v>
                </c:pt>
                <c:pt idx="4">
                  <c:v>-0.231111720963387</c:v>
                </c:pt>
                <c:pt idx="5">
                  <c:v>-0.19062035960865</c:v>
                </c:pt>
                <c:pt idx="6">
                  <c:v>-0.157003748809665</c:v>
                </c:pt>
                <c:pt idx="7">
                  <c:v>-0.113328685307003</c:v>
                </c:pt>
                <c:pt idx="8">
                  <c:v>-0.0769610411361284</c:v>
                </c:pt>
                <c:pt idx="9">
                  <c:v>-0.0198026272961798</c:v>
                </c:pt>
                <c:pt idx="10">
                  <c:v>0.0202027073175195</c:v>
                </c:pt>
                <c:pt idx="11">
                  <c:v>0.0618754037180875</c:v>
                </c:pt>
                <c:pt idx="12">
                  <c:v>0.0943106794712412</c:v>
                </c:pt>
                <c:pt idx="13">
                  <c:v>0.150822889734584</c:v>
                </c:pt>
                <c:pt idx="14">
                  <c:v>0.186329578191494</c:v>
                </c:pt>
                <c:pt idx="15">
                  <c:v>0.210721031315653</c:v>
                </c:pt>
                <c:pt idx="16">
                  <c:v>0.2484613592985</c:v>
                </c:pt>
                <c:pt idx="17">
                  <c:v>0.301105092783922</c:v>
                </c:pt>
                <c:pt idx="18">
                  <c:v>0.342490308946776</c:v>
                </c:pt>
                <c:pt idx="19">
                  <c:v>0.371063681390832</c:v>
                </c:pt>
                <c:pt idx="20">
                  <c:v>0.400477566597125</c:v>
                </c:pt>
                <c:pt idx="21">
                  <c:v>0.44628710262842</c:v>
                </c:pt>
                <c:pt idx="22">
                  <c:v>0.478035800943</c:v>
                </c:pt>
                <c:pt idx="23">
                  <c:v>0.49429632181478</c:v>
                </c:pt>
                <c:pt idx="24">
                  <c:v>0.527632742082372</c:v>
                </c:pt>
                <c:pt idx="25">
                  <c:v>0.562118918153541</c:v>
                </c:pt>
                <c:pt idx="26">
                  <c:v>0.59783700075562</c:v>
                </c:pt>
                <c:pt idx="27">
                  <c:v>0.616186139423817</c:v>
                </c:pt>
                <c:pt idx="28">
                  <c:v>0.653926467406664</c:v>
                </c:pt>
                <c:pt idx="29">
                  <c:v>0.673344553263766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92407022"/>
        <c:axId val="26389349"/>
      </c:scatterChart>
      <c:valAx>
        <c:axId val="92407022"/>
        <c:scaling>
          <c:orientation val="minMax"/>
          <c:max val="0.0033"/>
          <c:min val="0.002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1/T (K-1)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.00_);[Red]\(0.00\)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26389349"/>
        <c:crosses val="autoZero"/>
        <c:crossBetween val="midCat"/>
        <c:majorUnit val="0.01"/>
      </c:valAx>
      <c:valAx>
        <c:axId val="2638934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s-ES" sz="1000" b="1" i="0" u="none" strike="noStrike" kern="1200" spc="-1" baseline="0">
                    <a:solidFill>
                      <a:srgbClr val="595959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  <a:r>
                  <a:rPr lang="es-ES" sz="1000" b="1" strike="noStrike" spc="-1">
                    <a:solidFill>
                      <a:srgbClr val="595959"/>
                    </a:solidFill>
                    <a:latin typeface="Calibri" panose="020F0502020204030204"/>
                  </a:rPr>
                  <a:t>ln(1/V) (V-1)</a:t>
                </a:r>
                <a:endParaRPr lang="es-ES" sz="1000" b="1" strike="noStrike" spc="-1">
                  <a:solidFill>
                    <a:srgbClr val="595959"/>
                  </a:solidFill>
                  <a:latin typeface="Calibri" panose="020F0502020204030204"/>
                </a:endParaRP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.0_ " sourceLinked="0"/>
        <c:majorTickMark val="none"/>
        <c:minorTickMark val="none"/>
        <c:tickLblPos val="nextTo"/>
        <c:spPr>
          <a:ln w="9360" cap="flat" cmpd="sng" algn="ctr">
            <a:solidFill>
              <a:srgbClr val="BFBFB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9240702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0"/>
  </c:chart>
  <c:spPr>
    <a:solidFill>
      <a:srgbClr val="FFFFFF"/>
    </a:solidFill>
    <a:ln w="9360" cap="flat" cmpd="sng" algn="ctr">
      <a:noFill/>
      <a:prstDash val="solid"/>
      <a:round/>
    </a:ln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349200</xdr:colOff>
      <xdr:row>1</xdr:row>
      <xdr:rowOff>127080</xdr:rowOff>
    </xdr:from>
    <xdr:to>
      <xdr:col>10</xdr:col>
      <xdr:colOff>119880</xdr:colOff>
      <xdr:row>16</xdr:row>
      <xdr:rowOff>107280</xdr:rowOff>
    </xdr:to>
    <xdr:graphicFrame>
      <xdr:nvGraphicFramePr>
        <xdr:cNvPr id="2" name="Gráfico 1"/>
        <xdr:cNvGraphicFramePr/>
      </xdr:nvGraphicFramePr>
      <xdr:xfrm>
        <a:off x="2409825" y="311150"/>
        <a:ext cx="5155565" cy="2741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272880</xdr:colOff>
      <xdr:row>2</xdr:row>
      <xdr:rowOff>69840</xdr:rowOff>
    </xdr:from>
    <xdr:to>
      <xdr:col>9</xdr:col>
      <xdr:colOff>577080</xdr:colOff>
      <xdr:row>17</xdr:row>
      <xdr:rowOff>50040</xdr:rowOff>
    </xdr:to>
    <xdr:graphicFrame>
      <xdr:nvGraphicFramePr>
        <xdr:cNvPr id="2" name="Gráfico 1"/>
        <xdr:cNvGraphicFramePr/>
      </xdr:nvGraphicFramePr>
      <xdr:xfrm>
        <a:off x="1491615" y="437515"/>
        <a:ext cx="457136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254000</xdr:colOff>
      <xdr:row>3</xdr:row>
      <xdr:rowOff>79375</xdr:rowOff>
    </xdr:from>
    <xdr:to>
      <xdr:col>17</xdr:col>
      <xdr:colOff>558800</xdr:colOff>
      <xdr:row>18</xdr:row>
      <xdr:rowOff>60325</xdr:rowOff>
    </xdr:to>
    <xdr:graphicFrame>
      <xdr:nvGraphicFramePr>
        <xdr:cNvPr id="2" name="Gráfico 1"/>
        <xdr:cNvGraphicFramePr/>
      </xdr:nvGraphicFramePr>
      <xdr:xfrm>
        <a:off x="7264400" y="631825"/>
        <a:ext cx="54292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254160</xdr:colOff>
      <xdr:row>3</xdr:row>
      <xdr:rowOff>79200</xdr:rowOff>
    </xdr:from>
    <xdr:to>
      <xdr:col>17</xdr:col>
      <xdr:colOff>558360</xdr:colOff>
      <xdr:row>18</xdr:row>
      <xdr:rowOff>59400</xdr:rowOff>
    </xdr:to>
    <xdr:graphicFrame>
      <xdr:nvGraphicFramePr>
        <xdr:cNvPr id="2" name="Gráfico 1"/>
        <xdr:cNvGraphicFramePr/>
      </xdr:nvGraphicFramePr>
      <xdr:xfrm>
        <a:off x="6693535" y="631190"/>
        <a:ext cx="457136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135360</xdr:colOff>
      <xdr:row>2</xdr:row>
      <xdr:rowOff>100440</xdr:rowOff>
    </xdr:from>
    <xdr:to>
      <xdr:col>13</xdr:col>
      <xdr:colOff>439560</xdr:colOff>
      <xdr:row>17</xdr:row>
      <xdr:rowOff>80640</xdr:rowOff>
    </xdr:to>
    <xdr:graphicFrame>
      <xdr:nvGraphicFramePr>
        <xdr:cNvPr id="3" name="Gráfico 1"/>
        <xdr:cNvGraphicFramePr/>
      </xdr:nvGraphicFramePr>
      <xdr:xfrm>
        <a:off x="4027805" y="468630"/>
        <a:ext cx="4571365" cy="2741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317520</xdr:colOff>
      <xdr:row>2</xdr:row>
      <xdr:rowOff>108000</xdr:rowOff>
    </xdr:from>
    <xdr:to>
      <xdr:col>18</xdr:col>
      <xdr:colOff>11880</xdr:colOff>
      <xdr:row>17</xdr:row>
      <xdr:rowOff>88200</xdr:rowOff>
    </xdr:to>
    <xdr:graphicFrame>
      <xdr:nvGraphicFramePr>
        <xdr:cNvPr id="4" name="Gráfico 1"/>
        <xdr:cNvGraphicFramePr/>
      </xdr:nvGraphicFramePr>
      <xdr:xfrm>
        <a:off x="6769100" y="476250"/>
        <a:ext cx="5872480" cy="2741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zoomScale="80" zoomScaleNormal="80" workbookViewId="0">
      <selection activeCell="Q25" sqref="Q25"/>
    </sheetView>
  </sheetViews>
  <sheetFormatPr defaultColWidth="9.83636363636364" defaultRowHeight="14.5"/>
  <cols>
    <col min="4" max="4" width="13.9090909090909" customWidth="1"/>
    <col min="5" max="5" width="14" customWidth="1"/>
    <col min="11" max="11" width="12.8181818181818" customWidth="1"/>
    <col min="13" max="13" width="12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-30.4</v>
      </c>
      <c r="B4">
        <v>-43.6</v>
      </c>
    </row>
    <row r="5" spans="1:2">
      <c r="A5">
        <v>-24.3</v>
      </c>
      <c r="B5">
        <v>-35</v>
      </c>
    </row>
    <row r="6" spans="1:2">
      <c r="A6">
        <v>-20.2</v>
      </c>
      <c r="B6">
        <v>-29.3</v>
      </c>
    </row>
    <row r="7" spans="1:2">
      <c r="A7">
        <v>-14.5</v>
      </c>
      <c r="B7">
        <v>-21</v>
      </c>
    </row>
    <row r="8" spans="1:2">
      <c r="A8">
        <v>-9.8</v>
      </c>
      <c r="B8">
        <v>-14.1</v>
      </c>
    </row>
    <row r="9" spans="1:2">
      <c r="A9">
        <v>-4.7</v>
      </c>
      <c r="B9">
        <v>-7.1</v>
      </c>
    </row>
    <row r="10" spans="1:2">
      <c r="A10">
        <v>-0.3</v>
      </c>
      <c r="B10">
        <v>-0.9</v>
      </c>
    </row>
    <row r="11" spans="1:2">
      <c r="A11">
        <v>5.1</v>
      </c>
      <c r="B11">
        <v>6.7</v>
      </c>
    </row>
    <row r="12" spans="1:2">
      <c r="A12">
        <v>10.2</v>
      </c>
      <c r="B12">
        <v>14.3</v>
      </c>
    </row>
    <row r="13" spans="1:2">
      <c r="A13">
        <v>15.5</v>
      </c>
      <c r="B13">
        <v>21.6</v>
      </c>
    </row>
    <row r="14" spans="1:2">
      <c r="A14">
        <v>16</v>
      </c>
      <c r="B14">
        <v>22.6</v>
      </c>
    </row>
    <row r="15" spans="1:2">
      <c r="A15">
        <v>19.9</v>
      </c>
      <c r="B15">
        <v>27.9</v>
      </c>
    </row>
    <row r="16" spans="1:2">
      <c r="A16">
        <v>25.2</v>
      </c>
      <c r="B16">
        <v>35.8</v>
      </c>
    </row>
    <row r="17" spans="1:2">
      <c r="A17">
        <v>30.1</v>
      </c>
      <c r="B17">
        <v>42.6</v>
      </c>
    </row>
    <row r="18" spans="10:14">
      <c r="J18" t="s">
        <v>4</v>
      </c>
      <c r="L18" t="s">
        <v>4</v>
      </c>
      <c r="M18" t="s">
        <v>5</v>
      </c>
      <c r="N18" t="s">
        <v>4</v>
      </c>
    </row>
    <row r="19" spans="1:13">
      <c r="A19" t="s">
        <v>6</v>
      </c>
      <c r="B19">
        <v>0.1</v>
      </c>
      <c r="D19" s="2">
        <f t="array" ref="D19:E22">LINEST(B4:B17,A4:A17,1,1)</f>
        <v>1.42618418863782</v>
      </c>
      <c r="E19" s="8">
        <v>-0.34900561126809</v>
      </c>
      <c r="H19" t="s">
        <v>7</v>
      </c>
      <c r="I19">
        <v>1.426</v>
      </c>
      <c r="J19" t="s">
        <v>8</v>
      </c>
      <c r="K19">
        <v>1.426</v>
      </c>
      <c r="L19" t="s">
        <v>9</v>
      </c>
      <c r="M19">
        <v>0.00214417544350322</v>
      </c>
    </row>
    <row r="20" spans="1:13">
      <c r="A20" t="s">
        <v>10</v>
      </c>
      <c r="D20" s="2">
        <v>0.00214417544350322</v>
      </c>
      <c r="E20" s="8">
        <v>0.0397624190183707</v>
      </c>
      <c r="H20" t="s">
        <v>11</v>
      </c>
      <c r="I20">
        <v>250</v>
      </c>
      <c r="J20" t="s">
        <v>12</v>
      </c>
      <c r="K20">
        <f>I20/1000</f>
        <v>0.25</v>
      </c>
      <c r="L20" t="s">
        <v>13</v>
      </c>
      <c r="M20">
        <f>0.1*10^-3</f>
        <v>0.0001</v>
      </c>
    </row>
    <row r="21" spans="4:10">
      <c r="D21">
        <v>0.999972876928578</v>
      </c>
      <c r="E21">
        <v>0.148427260966068</v>
      </c>
      <c r="H21" t="s">
        <v>14</v>
      </c>
      <c r="I21">
        <f>1.6*10^-19</f>
        <v>1.6e-19</v>
      </c>
      <c r="J21" t="s">
        <v>15</v>
      </c>
    </row>
    <row r="22" spans="4:12">
      <c r="D22">
        <v>442415.769830711</v>
      </c>
      <c r="E22">
        <v>12</v>
      </c>
      <c r="H22" t="s">
        <v>16</v>
      </c>
      <c r="I22">
        <v>1</v>
      </c>
      <c r="J22" t="s">
        <v>17</v>
      </c>
      <c r="K22">
        <f>I22/1000</f>
        <v>0.001</v>
      </c>
      <c r="L22" t="s">
        <v>18</v>
      </c>
    </row>
    <row r="24" spans="8:13">
      <c r="H24" t="s">
        <v>19</v>
      </c>
      <c r="K24">
        <f>K20/(K19*I21*K22)</f>
        <v>1.09572230014025e+21</v>
      </c>
      <c r="L24" t="s">
        <v>20</v>
      </c>
      <c r="M24">
        <f>M20/(K19*I21*K22)+K20*M19/(K19^2*I21*K22)</f>
        <v>2.08584912262244e+18</v>
      </c>
    </row>
    <row r="25" spans="11:14">
      <c r="K25" s="2">
        <f>K24/10^21</f>
        <v>1.09572230014025</v>
      </c>
      <c r="M25" s="2">
        <f>M24/10^21</f>
        <v>0.00208584912262244</v>
      </c>
      <c r="N25" t="s">
        <v>21</v>
      </c>
    </row>
  </sheetData>
  <pageMargins left="0.75" right="0.75" top="1" bottom="1" header="0.511811023622047" footer="0.511811023622047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workbookViewId="0">
      <selection activeCell="N24" sqref="N24"/>
    </sheetView>
  </sheetViews>
  <sheetFormatPr defaultColWidth="8.72727272727273" defaultRowHeight="14.5"/>
  <cols>
    <col min="12" max="12" width="13.9090909090909" customWidth="1"/>
    <col min="13" max="13" width="14" customWidth="1"/>
    <col min="14" max="14" width="11.4454545454545" customWidth="1"/>
    <col min="16" max="16" width="12.8181818181818" customWidth="1"/>
  </cols>
  <sheetData>
    <row r="1" spans="1:2">
      <c r="A1" t="s">
        <v>22</v>
      </c>
      <c r="B1" t="s">
        <v>1</v>
      </c>
    </row>
    <row r="2" spans="1:13">
      <c r="A2" t="s">
        <v>23</v>
      </c>
      <c r="B2" t="s">
        <v>3</v>
      </c>
      <c r="L2" t="s">
        <v>24</v>
      </c>
      <c r="M2" t="s">
        <v>25</v>
      </c>
    </row>
    <row r="3" spans="11:13">
      <c r="K3" t="s">
        <v>26</v>
      </c>
      <c r="L3" s="1">
        <f t="array" ref="L3:M6">LINEST(B4:B68,A4:A68,1,1)</f>
        <v>0.218029587155232</v>
      </c>
      <c r="M3" s="7">
        <v>-14.9501856833142</v>
      </c>
    </row>
    <row r="4" spans="1:13">
      <c r="A4" s="7">
        <v>-303.171</v>
      </c>
      <c r="B4">
        <v>-79.1</v>
      </c>
      <c r="K4" t="s">
        <v>5</v>
      </c>
      <c r="L4" s="1">
        <v>0.000653994538292899</v>
      </c>
      <c r="M4" s="7">
        <v>0.119586564286503</v>
      </c>
    </row>
    <row r="5" spans="1:13">
      <c r="A5" s="7">
        <v>-299.1</v>
      </c>
      <c r="B5">
        <v>-78.4</v>
      </c>
      <c r="L5">
        <v>0.99943348446563</v>
      </c>
      <c r="M5">
        <v>0.946360620249006</v>
      </c>
    </row>
    <row r="6" spans="1:13">
      <c r="A6" s="7">
        <v>-290.428</v>
      </c>
      <c r="B6">
        <v>-76.9</v>
      </c>
      <c r="L6">
        <v>111143.129713647</v>
      </c>
      <c r="M6">
        <v>63</v>
      </c>
    </row>
    <row r="7" spans="1:2">
      <c r="A7" s="7">
        <v>-287.773</v>
      </c>
      <c r="B7">
        <v>-76.5</v>
      </c>
    </row>
    <row r="8" spans="1:15">
      <c r="A8" s="7">
        <v>-270.96</v>
      </c>
      <c r="B8">
        <v>-73.3</v>
      </c>
      <c r="K8" t="s">
        <v>16</v>
      </c>
      <c r="L8">
        <v>1</v>
      </c>
      <c r="M8" t="s">
        <v>17</v>
      </c>
      <c r="N8">
        <v>0.001</v>
      </c>
      <c r="O8" t="s">
        <v>18</v>
      </c>
    </row>
    <row r="9" spans="1:15">
      <c r="A9" s="7">
        <v>-270.783</v>
      </c>
      <c r="B9">
        <v>-73.1</v>
      </c>
      <c r="K9" t="s">
        <v>27</v>
      </c>
      <c r="L9">
        <v>30</v>
      </c>
      <c r="M9" t="s">
        <v>28</v>
      </c>
      <c r="N9">
        <f>L9/1000</f>
        <v>0.03</v>
      </c>
      <c r="O9" t="s">
        <v>29</v>
      </c>
    </row>
    <row r="10" spans="1:15">
      <c r="A10" s="7">
        <v>-264.235</v>
      </c>
      <c r="B10">
        <v>-71.9</v>
      </c>
      <c r="K10" t="s">
        <v>25</v>
      </c>
      <c r="L10">
        <v>0.218</v>
      </c>
      <c r="M10" t="s">
        <v>30</v>
      </c>
      <c r="N10">
        <v>0.218</v>
      </c>
      <c r="O10" t="s">
        <v>31</v>
      </c>
    </row>
    <row r="11" spans="1:2">
      <c r="A11" s="7">
        <v>-251.669</v>
      </c>
      <c r="B11">
        <v>-69.4</v>
      </c>
    </row>
    <row r="12" spans="1:17">
      <c r="A12" s="7">
        <v>-251.492</v>
      </c>
      <c r="B12">
        <v>-69.5</v>
      </c>
      <c r="K12" t="s">
        <v>32</v>
      </c>
      <c r="N12" s="4">
        <f>N10*N8/N9</f>
        <v>0.00726666666666667</v>
      </c>
      <c r="O12" t="s">
        <v>33</v>
      </c>
      <c r="P12" s="8">
        <f>N12*1000</f>
        <v>7.26666666666667</v>
      </c>
      <c r="Q12" t="s">
        <v>34</v>
      </c>
    </row>
    <row r="13" spans="1:16">
      <c r="A13" s="7">
        <v>-248.66</v>
      </c>
      <c r="B13">
        <v>-68.8</v>
      </c>
      <c r="K13" t="s">
        <v>5</v>
      </c>
      <c r="N13" s="4">
        <f>L4*N8/N9+N10*N8*0.0001/N9^2</f>
        <v>4.60220401653189e-5</v>
      </c>
      <c r="P13" s="8">
        <f>N13*1000</f>
        <v>0.0460220401653189</v>
      </c>
    </row>
    <row r="14" spans="1:2">
      <c r="A14" s="7">
        <v>-246.536</v>
      </c>
      <c r="B14">
        <v>-68.5</v>
      </c>
    </row>
    <row r="15" spans="1:17">
      <c r="A15" s="7">
        <v>-237.864</v>
      </c>
      <c r="B15">
        <v>-67</v>
      </c>
      <c r="K15" t="s">
        <v>19</v>
      </c>
      <c r="N15" s="12">
        <f>1/(1.6*10^-19*N12)</f>
        <v>8.60091743119266e+20</v>
      </c>
      <c r="O15" t="s">
        <v>20</v>
      </c>
      <c r="P15" s="8">
        <f>N15/10^20</f>
        <v>8.60091743119266</v>
      </c>
      <c r="Q15" t="s">
        <v>35</v>
      </c>
    </row>
    <row r="16" spans="1:16">
      <c r="A16" s="7">
        <v>-229.9</v>
      </c>
      <c r="B16">
        <v>-65.2</v>
      </c>
      <c r="K16" t="s">
        <v>5</v>
      </c>
      <c r="N16" s="13">
        <f>N13/(N12^2*1.6*10^-19)</f>
        <v>5.44722615793953e+18</v>
      </c>
      <c r="P16" s="8">
        <f>N16/10^20</f>
        <v>0.0544722615793953</v>
      </c>
    </row>
    <row r="17" spans="1:2">
      <c r="A17" s="7">
        <v>-228.838</v>
      </c>
      <c r="B17">
        <v>-65</v>
      </c>
    </row>
    <row r="18" spans="1:14">
      <c r="A18" s="7">
        <v>-220.52</v>
      </c>
      <c r="B18">
        <v>-63.7</v>
      </c>
      <c r="K18" s="14" t="s">
        <v>36</v>
      </c>
      <c r="L18">
        <f>L19/(L21*L20)</f>
        <v>37.7358490566038</v>
      </c>
      <c r="M18" t="s">
        <v>37</v>
      </c>
      <c r="N18">
        <f>L19*N21/(L20*L21^2)</f>
        <v>0.142399430402278</v>
      </c>
    </row>
    <row r="19" spans="1:13">
      <c r="A19" s="7">
        <v>-215.034</v>
      </c>
      <c r="B19">
        <v>-62.2</v>
      </c>
      <c r="K19" t="s">
        <v>38</v>
      </c>
      <c r="L19">
        <f>2/100</f>
        <v>0.02</v>
      </c>
      <c r="M19" t="s">
        <v>18</v>
      </c>
    </row>
    <row r="20" spans="1:13">
      <c r="A20" s="7">
        <v>-214.857</v>
      </c>
      <c r="B20">
        <v>-62.2</v>
      </c>
      <c r="D20" t="s">
        <v>5</v>
      </c>
      <c r="E20">
        <v>0.1</v>
      </c>
      <c r="F20" t="s">
        <v>39</v>
      </c>
      <c r="K20" t="s">
        <v>29</v>
      </c>
      <c r="L20">
        <f>10^-5</f>
        <v>1e-5</v>
      </c>
      <c r="M20" t="s">
        <v>40</v>
      </c>
    </row>
    <row r="21" spans="1:14">
      <c r="A21" s="7">
        <v>-197.335</v>
      </c>
      <c r="B21">
        <v>-59.5</v>
      </c>
      <c r="F21" t="s">
        <v>12</v>
      </c>
      <c r="K21" s="15" t="s">
        <v>41</v>
      </c>
      <c r="L21">
        <v>53</v>
      </c>
      <c r="M21" t="s">
        <v>42</v>
      </c>
      <c r="N21">
        <v>0.2</v>
      </c>
    </row>
    <row r="22" spans="1:6">
      <c r="A22" s="7">
        <v>-191.672</v>
      </c>
      <c r="B22">
        <v>-57.5</v>
      </c>
      <c r="F22" t="s">
        <v>28</v>
      </c>
    </row>
    <row r="23" spans="1:14">
      <c r="A23" s="7">
        <v>-185.654</v>
      </c>
      <c r="B23">
        <v>-56.5</v>
      </c>
      <c r="K23" s="14" t="s">
        <v>43</v>
      </c>
      <c r="L23">
        <f>L18*N12</f>
        <v>0.274213836477987</v>
      </c>
      <c r="N23">
        <f>N18*N12+N13*L18</f>
        <v>0.00277144995521198</v>
      </c>
    </row>
    <row r="24" spans="1:14">
      <c r="A24" s="7">
        <v>-169.903</v>
      </c>
      <c r="B24">
        <v>-53</v>
      </c>
      <c r="L24">
        <f>L23*10000</f>
        <v>2742.13836477987</v>
      </c>
      <c r="N24">
        <f>N23*10000</f>
        <v>27.7144995521198</v>
      </c>
    </row>
    <row r="25" spans="1:2">
      <c r="A25" s="7">
        <v>-167.425</v>
      </c>
      <c r="B25">
        <v>-52.7</v>
      </c>
    </row>
    <row r="26" spans="1:2">
      <c r="A26" s="7">
        <v>-152.028</v>
      </c>
      <c r="B26">
        <v>-49</v>
      </c>
    </row>
    <row r="27" spans="1:2">
      <c r="A27" s="7">
        <v>-133.268</v>
      </c>
      <c r="B27">
        <v>-45.1</v>
      </c>
    </row>
    <row r="28" spans="1:2">
      <c r="A28" s="7">
        <v>-122.649</v>
      </c>
      <c r="B28">
        <v>-42.9</v>
      </c>
    </row>
    <row r="29" spans="1:2">
      <c r="A29" s="7">
        <v>-115.215</v>
      </c>
      <c r="B29">
        <v>-41.1</v>
      </c>
    </row>
    <row r="30" spans="1:2">
      <c r="A30" s="7">
        <v>-103.942</v>
      </c>
      <c r="B30">
        <v>-39.7</v>
      </c>
    </row>
    <row r="31" spans="1:2">
      <c r="A31" s="7">
        <v>-87.385</v>
      </c>
      <c r="B31">
        <v>-34.8</v>
      </c>
    </row>
    <row r="32" spans="1:2">
      <c r="A32" s="7">
        <v>-70.041</v>
      </c>
      <c r="B32">
        <v>-31.9</v>
      </c>
    </row>
    <row r="33" spans="1:2">
      <c r="A33" s="7">
        <v>-59.988</v>
      </c>
      <c r="B33">
        <v>-28.6</v>
      </c>
    </row>
    <row r="34" spans="1:2">
      <c r="A34" s="7">
        <v>-54.466</v>
      </c>
      <c r="B34">
        <v>-27.4</v>
      </c>
    </row>
    <row r="35" spans="1:2">
      <c r="A35" s="7">
        <v>-40.75</v>
      </c>
      <c r="B35">
        <v>-24.6</v>
      </c>
    </row>
    <row r="36" spans="1:2">
      <c r="A36" s="7">
        <v>-38.768</v>
      </c>
      <c r="B36">
        <v>-22.8</v>
      </c>
    </row>
    <row r="37" spans="1:2">
      <c r="A37" s="7">
        <v>-33.618</v>
      </c>
      <c r="B37">
        <v>-22.8</v>
      </c>
    </row>
    <row r="38" spans="1:2">
      <c r="A38" s="7">
        <v>-18.273</v>
      </c>
      <c r="B38">
        <v>-19.2</v>
      </c>
    </row>
    <row r="39" spans="1:2">
      <c r="A39" s="7">
        <v>-10.256</v>
      </c>
      <c r="B39">
        <v>-17.2</v>
      </c>
    </row>
    <row r="40" spans="1:2">
      <c r="A40" s="7">
        <v>-8.506</v>
      </c>
      <c r="B40">
        <v>-17.9</v>
      </c>
    </row>
    <row r="41" spans="1:2">
      <c r="A41" s="7">
        <v>1.273</v>
      </c>
      <c r="B41">
        <v>-14.5</v>
      </c>
    </row>
    <row r="42" spans="1:2">
      <c r="A42" s="7">
        <v>1.314</v>
      </c>
      <c r="B42">
        <v>-14.4</v>
      </c>
    </row>
    <row r="43" spans="1:2">
      <c r="A43" s="7">
        <v>13.798</v>
      </c>
      <c r="B43">
        <v>-11.6</v>
      </c>
    </row>
    <row r="44" spans="1:2">
      <c r="A44" s="7">
        <v>22.096</v>
      </c>
      <c r="B44">
        <v>-10.1</v>
      </c>
    </row>
    <row r="45" spans="1:2">
      <c r="A45" s="7">
        <v>47.015</v>
      </c>
      <c r="B45">
        <v>-3.9</v>
      </c>
    </row>
    <row r="46" spans="1:2">
      <c r="A46" s="7">
        <v>66.501</v>
      </c>
      <c r="B46">
        <v>0.4</v>
      </c>
    </row>
    <row r="47" spans="1:2">
      <c r="A47" s="7">
        <v>69.899</v>
      </c>
      <c r="B47">
        <v>1.3</v>
      </c>
    </row>
    <row r="48" spans="1:2">
      <c r="A48" s="7">
        <v>69.988</v>
      </c>
      <c r="B48">
        <v>1.3</v>
      </c>
    </row>
    <row r="49" spans="1:2">
      <c r="A49" s="7">
        <v>81.916</v>
      </c>
      <c r="B49">
        <v>4</v>
      </c>
    </row>
    <row r="50" spans="1:2">
      <c r="A50" s="7">
        <v>101.791</v>
      </c>
      <c r="B50">
        <v>7.6</v>
      </c>
    </row>
    <row r="51" spans="1:2">
      <c r="A51" s="7">
        <v>108.136</v>
      </c>
      <c r="B51">
        <v>9.9</v>
      </c>
    </row>
    <row r="52" spans="1:2">
      <c r="A52" s="7">
        <v>115.746</v>
      </c>
      <c r="B52">
        <v>10.9</v>
      </c>
    </row>
    <row r="53" spans="1:2">
      <c r="A53" s="7">
        <v>129.905</v>
      </c>
      <c r="B53">
        <v>14.7</v>
      </c>
    </row>
    <row r="54" spans="1:2">
      <c r="A54" s="7">
        <v>145.126</v>
      </c>
      <c r="B54">
        <v>17.5</v>
      </c>
    </row>
    <row r="55" spans="1:2">
      <c r="A55" s="7">
        <v>153.975</v>
      </c>
      <c r="B55">
        <v>19.8</v>
      </c>
    </row>
    <row r="56" spans="1:2">
      <c r="A56" s="7">
        <v>155.037</v>
      </c>
      <c r="B56">
        <v>19.8</v>
      </c>
    </row>
    <row r="57" spans="1:2">
      <c r="A57" s="7">
        <v>177.336</v>
      </c>
      <c r="B57">
        <v>24.7</v>
      </c>
    </row>
    <row r="58" spans="1:2">
      <c r="A58" s="7">
        <v>177.867</v>
      </c>
      <c r="B58">
        <v>24.7</v>
      </c>
    </row>
    <row r="59" spans="1:2">
      <c r="A59" s="7">
        <v>199.636</v>
      </c>
      <c r="B59">
        <v>28.8</v>
      </c>
    </row>
    <row r="60" spans="1:2">
      <c r="A60" s="7">
        <v>199.813</v>
      </c>
      <c r="B60">
        <v>29.2</v>
      </c>
    </row>
    <row r="61" spans="1:2">
      <c r="A61" s="7">
        <v>213.264</v>
      </c>
      <c r="B61">
        <v>31.4</v>
      </c>
    </row>
    <row r="62" spans="1:2">
      <c r="A62" s="7">
        <v>218.927</v>
      </c>
      <c r="B62">
        <v>33.2</v>
      </c>
    </row>
    <row r="63" spans="1:2">
      <c r="A63" s="7">
        <v>232.378</v>
      </c>
      <c r="B63">
        <v>35.5</v>
      </c>
    </row>
    <row r="64" spans="1:2">
      <c r="A64" s="7">
        <v>239.457</v>
      </c>
      <c r="B64">
        <v>36.8</v>
      </c>
    </row>
    <row r="65" spans="1:2">
      <c r="A65" s="7">
        <v>249.722</v>
      </c>
      <c r="B65">
        <v>38.9</v>
      </c>
    </row>
    <row r="66" spans="1:2">
      <c r="A66" s="7">
        <v>252.023</v>
      </c>
      <c r="B66">
        <v>39.4</v>
      </c>
    </row>
    <row r="67" spans="1:2">
      <c r="A67" s="7">
        <v>276.446</v>
      </c>
      <c r="B67">
        <v>44</v>
      </c>
    </row>
    <row r="68" spans="1:2">
      <c r="A68" s="7">
        <v>300.693</v>
      </c>
      <c r="B68">
        <v>48.5</v>
      </c>
    </row>
  </sheetData>
  <pageMargins left="0.75" right="0.75" top="1" bottom="1" header="0.511811023622047" footer="0.511811023622047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zoomScale="80" zoomScaleNormal="80" workbookViewId="0">
      <selection activeCell="I20" sqref="I20:N22"/>
    </sheetView>
  </sheetViews>
  <sheetFormatPr defaultColWidth="8.72727272727273" defaultRowHeight="14.5"/>
  <cols>
    <col min="1" max="3" width="8.72727272727273" style="9"/>
    <col min="4" max="4" width="12.8181818181818" style="9"/>
    <col min="5" max="5" width="9.54545454545454" style="9" customWidth="1"/>
    <col min="6" max="8" width="8.72727272727273" style="9"/>
    <col min="9" max="11" width="12.8181818181818" style="9"/>
    <col min="12" max="12" width="8.72727272727273" style="9"/>
    <col min="13" max="14" width="12.8181818181818" style="9"/>
    <col min="15" max="16384" width="8.72727272727273" style="9"/>
  </cols>
  <sheetData>
    <row r="1" spans="1:7">
      <c r="A1" s="9" t="s">
        <v>22</v>
      </c>
      <c r="B1" s="9" t="s">
        <v>44</v>
      </c>
      <c r="D1" s="9" t="s">
        <v>45</v>
      </c>
      <c r="E1" s="9">
        <v>30</v>
      </c>
      <c r="F1" s="9">
        <f>E1/1000</f>
        <v>0.03</v>
      </c>
      <c r="G1" s="9" t="s">
        <v>29</v>
      </c>
    </row>
    <row r="2" spans="1:7">
      <c r="A2" s="9" t="s">
        <v>23</v>
      </c>
      <c r="B2" s="9" t="s">
        <v>46</v>
      </c>
      <c r="D2" s="9" t="s">
        <v>47</v>
      </c>
      <c r="E2" s="9" t="s">
        <v>5</v>
      </c>
      <c r="F2" s="9" t="s">
        <v>48</v>
      </c>
      <c r="G2" s="9" t="s">
        <v>5</v>
      </c>
    </row>
    <row r="4" spans="1:7">
      <c r="A4" s="10">
        <v>0.968</v>
      </c>
      <c r="B4" s="9">
        <v>1.59</v>
      </c>
      <c r="C4" s="9">
        <v>53</v>
      </c>
      <c r="D4" s="10">
        <v>53</v>
      </c>
      <c r="E4" s="10">
        <f>$B$24/$F$1+B4*$B$26/$F$1^2</f>
        <v>0.21</v>
      </c>
      <c r="F4" s="11">
        <f>(D4-$D$4)/$D$4</f>
        <v>0</v>
      </c>
      <c r="G4" s="11">
        <f>E4/$D$4+D4*$E$4/$D$4^2</f>
        <v>0.00792452830188679</v>
      </c>
    </row>
    <row r="5" spans="1:7">
      <c r="A5" s="10">
        <v>0.986</v>
      </c>
      <c r="B5" s="9">
        <v>1.591</v>
      </c>
      <c r="C5" s="9">
        <v>53.0333333333333</v>
      </c>
      <c r="D5" s="10">
        <v>53</v>
      </c>
      <c r="E5" s="10">
        <f>$B$24/$F$1+B5*$B$26/$F$1^2</f>
        <v>0.210111111111111</v>
      </c>
      <c r="F5" s="11">
        <f>(D5-$D$4)/$D$4</f>
        <v>0</v>
      </c>
      <c r="G5" s="11">
        <f>E5/$D$4+D5*$E$4/$D$4^2</f>
        <v>0.00792662473794549</v>
      </c>
    </row>
    <row r="6" spans="1:7">
      <c r="A6" s="10">
        <v>7.612</v>
      </c>
      <c r="B6" s="9">
        <v>1.59</v>
      </c>
      <c r="C6" s="9">
        <v>53</v>
      </c>
      <c r="D6" s="10">
        <v>53</v>
      </c>
      <c r="E6" s="10">
        <f>$B$24/$F$1+B6*$B$26/$F$1^2</f>
        <v>0.21</v>
      </c>
      <c r="F6" s="11">
        <f>(D6-$D$4)/$D$4</f>
        <v>0</v>
      </c>
      <c r="G6" s="11">
        <f>E6/$D$4+D6*$E$4/$D$4^2</f>
        <v>0.00792452830188679</v>
      </c>
    </row>
    <row r="7" spans="1:7">
      <c r="A7" s="10">
        <v>23.99</v>
      </c>
      <c r="B7" s="9">
        <v>1.592</v>
      </c>
      <c r="C7" s="9">
        <v>53.0666666666667</v>
      </c>
      <c r="D7" s="10">
        <v>53.1</v>
      </c>
      <c r="E7" s="10">
        <f>$B$24/$F$1+B7*$B$26/$F$1^2</f>
        <v>0.210222222222222</v>
      </c>
      <c r="F7" s="11">
        <f>(D7-$D$4)/$D$4</f>
        <v>0.00188679245283022</v>
      </c>
      <c r="G7" s="11">
        <f>E7/$D$4+D7*$E$4/$D$4^2</f>
        <v>0.00793619714410031</v>
      </c>
    </row>
    <row r="8" spans="1:7">
      <c r="A8" s="10">
        <v>36.626</v>
      </c>
      <c r="B8" s="9">
        <v>1.592</v>
      </c>
      <c r="C8" s="9">
        <v>53.0666666666667</v>
      </c>
      <c r="D8" s="10">
        <v>53.1</v>
      </c>
      <c r="E8" s="10">
        <f>$B$24/$F$1+B8*$B$26/$F$1^2</f>
        <v>0.210222222222222</v>
      </c>
      <c r="F8" s="11">
        <f>(D8-$D$4)/$D$4</f>
        <v>0.00188679245283022</v>
      </c>
      <c r="G8" s="11">
        <f>E8/$D$4+D8*$E$4/$D$4^2</f>
        <v>0.00793619714410031</v>
      </c>
    </row>
    <row r="9" spans="1:7">
      <c r="A9" s="10">
        <v>48.856</v>
      </c>
      <c r="B9" s="9">
        <v>1.589</v>
      </c>
      <c r="C9" s="9">
        <v>52.9666666666667</v>
      </c>
      <c r="D9" s="10">
        <v>53</v>
      </c>
      <c r="E9" s="10">
        <f>$B$24/$F$1+B9*$B$26/$F$1^2</f>
        <v>0.209888888888889</v>
      </c>
      <c r="F9" s="11">
        <f>(D9-$D$4)/$D$4</f>
        <v>0</v>
      </c>
      <c r="G9" s="11">
        <f>E9/$D$4+D9*$E$4/$D$4^2</f>
        <v>0.00792243186582809</v>
      </c>
    </row>
    <row r="10" spans="1:7">
      <c r="A10" s="10">
        <v>64.979</v>
      </c>
      <c r="B10" s="9">
        <v>1.593</v>
      </c>
      <c r="C10" s="9">
        <v>53.1</v>
      </c>
      <c r="D10" s="10">
        <v>53.1</v>
      </c>
      <c r="E10" s="10">
        <f>$B$24/$F$1+B10*$B$26/$F$1^2</f>
        <v>0.210333333333333</v>
      </c>
      <c r="F10" s="11">
        <f>(D10-$D$4)/$D$4</f>
        <v>0.00188679245283022</v>
      </c>
      <c r="G10" s="11">
        <f>E10/$D$4+D10*$E$4/$D$4^2</f>
        <v>0.00793829358015901</v>
      </c>
    </row>
    <row r="11" spans="1:7">
      <c r="A11" s="10">
        <v>85.544</v>
      </c>
      <c r="B11" s="9">
        <v>1.591</v>
      </c>
      <c r="C11" s="9">
        <v>53.0333333333333</v>
      </c>
      <c r="D11" s="10">
        <v>53</v>
      </c>
      <c r="E11" s="10">
        <f>$B$24/$F$1+B11*$B$26/$F$1^2</f>
        <v>0.210111111111111</v>
      </c>
      <c r="F11" s="11">
        <f>(D11-$D$4)/$D$4</f>
        <v>0</v>
      </c>
      <c r="G11" s="11">
        <f>E11/$D$4+D11*$E$4/$D$4^2</f>
        <v>0.00792662473794549</v>
      </c>
    </row>
    <row r="12" spans="1:7">
      <c r="A12" s="10">
        <v>112.03</v>
      </c>
      <c r="B12" s="9">
        <v>1.601</v>
      </c>
      <c r="C12" s="9">
        <v>53.3666666666667</v>
      </c>
      <c r="D12" s="10">
        <v>53.4</v>
      </c>
      <c r="E12" s="10">
        <f>$B$24/$F$1+B12*$B$26/$F$1^2</f>
        <v>0.211222222222222</v>
      </c>
      <c r="F12" s="11">
        <f>(D12-$D$4)/$D$4</f>
        <v>0.00754716981132073</v>
      </c>
      <c r="G12" s="11">
        <f>E12/$D$4+D12*$E$4/$D$4^2</f>
        <v>0.00797749297891697</v>
      </c>
    </row>
    <row r="13" spans="1:7">
      <c r="A13" s="10">
        <v>137.869</v>
      </c>
      <c r="B13" s="9">
        <v>1.601</v>
      </c>
      <c r="C13" s="9">
        <v>53.3666666666667</v>
      </c>
      <c r="D13" s="10">
        <v>53.4</v>
      </c>
      <c r="E13" s="10">
        <f>$B$24/$F$1+B13*$B$26/$F$1^2</f>
        <v>0.211222222222222</v>
      </c>
      <c r="F13" s="11">
        <f>(D13-$D$4)/$D$4</f>
        <v>0.00754716981132073</v>
      </c>
      <c r="G13" s="11">
        <f>E13/$D$4+D13*$E$4/$D$4^2</f>
        <v>0.00797749297891697</v>
      </c>
    </row>
    <row r="14" spans="1:7">
      <c r="A14" s="10">
        <v>157.337</v>
      </c>
      <c r="B14" s="9">
        <v>1.602</v>
      </c>
      <c r="C14" s="9">
        <v>53.4</v>
      </c>
      <c r="D14" s="10">
        <v>53.4</v>
      </c>
      <c r="E14" s="10">
        <f>$B$24/$F$1+B14*$B$26/$F$1^2</f>
        <v>0.211333333333333</v>
      </c>
      <c r="F14" s="11">
        <f>(D14-$D$4)/$D$4</f>
        <v>0.00754716981132073</v>
      </c>
      <c r="G14" s="11">
        <f>E14/$D$4+D14*$E$4/$D$4^2</f>
        <v>0.00797958941497567</v>
      </c>
    </row>
    <row r="15" spans="1:7">
      <c r="A15" s="10">
        <v>184.416</v>
      </c>
      <c r="B15" s="9">
        <v>1.609</v>
      </c>
      <c r="C15" s="9">
        <v>53.6333333333333</v>
      </c>
      <c r="D15" s="10">
        <v>53.6</v>
      </c>
      <c r="E15" s="10">
        <f>$B$24/$F$1+B15*$B$26/$F$1^2</f>
        <v>0.212111111111111</v>
      </c>
      <c r="F15" s="11">
        <f>(D15-$D$4)/$D$4</f>
        <v>0.0113207547169812</v>
      </c>
      <c r="G15" s="11">
        <f>E15/$D$4+D15*$E$4/$D$4^2</f>
        <v>0.00800921640757881</v>
      </c>
    </row>
    <row r="16" spans="1:7">
      <c r="A16" s="10">
        <v>208.308</v>
      </c>
      <c r="B16" s="9">
        <v>1.606</v>
      </c>
      <c r="C16" s="9">
        <v>53.5333333333333</v>
      </c>
      <c r="D16" s="10">
        <v>53.5</v>
      </c>
      <c r="E16" s="10">
        <f>$B$24/$F$1+B16*$B$26/$F$1^2</f>
        <v>0.211777777777778</v>
      </c>
      <c r="F16" s="11">
        <f>(D16-$D$4)/$D$4</f>
        <v>0.00943396226415094</v>
      </c>
      <c r="G16" s="11">
        <f>E16/$D$4+D16*$E$4/$D$4^2</f>
        <v>0.00799545112930659</v>
      </c>
    </row>
    <row r="17" spans="1:7">
      <c r="A17" s="10">
        <v>228.838</v>
      </c>
      <c r="B17" s="9">
        <v>1.618</v>
      </c>
      <c r="C17" s="9">
        <v>53.9333333333333</v>
      </c>
      <c r="D17" s="10">
        <v>53.9</v>
      </c>
      <c r="E17" s="10">
        <f>$B$24/$F$1+B17*$B$26/$F$1^2</f>
        <v>0.213111111111111</v>
      </c>
      <c r="F17" s="11">
        <f>(D17-$D$4)/$D$4</f>
        <v>0.0169811320754717</v>
      </c>
      <c r="G17" s="11">
        <f>E17/$D$4+D17*$E$4/$D$4^2</f>
        <v>0.00805051224239547</v>
      </c>
    </row>
    <row r="18" spans="1:7">
      <c r="A18" s="10">
        <v>248.129</v>
      </c>
      <c r="B18" s="9">
        <v>1.621</v>
      </c>
      <c r="C18" s="9">
        <v>54.0333333333333</v>
      </c>
      <c r="D18" s="10">
        <v>54</v>
      </c>
      <c r="E18" s="10">
        <f>$B$24/$F$1+B18*$B$26/$F$1^2</f>
        <v>0.213444444444444</v>
      </c>
      <c r="F18" s="11">
        <f>(D18-$D$4)/$D$4</f>
        <v>0.0188679245283019</v>
      </c>
      <c r="G18" s="11">
        <f>E18/$D$4+D18*$E$4/$D$4^2</f>
        <v>0.00806427752066769</v>
      </c>
    </row>
    <row r="19" spans="1:7">
      <c r="A19" s="10">
        <v>262.819</v>
      </c>
      <c r="B19" s="9">
        <v>1.626</v>
      </c>
      <c r="C19" s="9">
        <v>54.2</v>
      </c>
      <c r="D19" s="10">
        <v>54.2</v>
      </c>
      <c r="E19" s="10">
        <f>$B$24/$F$1+B19*$B$26/$F$1^2</f>
        <v>0.214</v>
      </c>
      <c r="F19" s="11">
        <f>(D19-$D$4)/$D$4</f>
        <v>0.0226415094339623</v>
      </c>
      <c r="G19" s="11">
        <f>E19/$D$4+D19*$E$4/$D$4^2</f>
        <v>0.00808971164115344</v>
      </c>
    </row>
    <row r="20" spans="1:14">
      <c r="A20" s="10">
        <v>274.677</v>
      </c>
      <c r="B20" s="9">
        <v>1.628</v>
      </c>
      <c r="C20" s="9">
        <v>54.2666666666667</v>
      </c>
      <c r="D20" s="10">
        <v>54.3</v>
      </c>
      <c r="E20" s="10">
        <f>$B$24/$F$1+B20*$B$26/$F$1^2</f>
        <v>0.214222222222222</v>
      </c>
      <c r="F20" s="11">
        <f>(D20-$D$4)/$D$4</f>
        <v>0.0245283018867924</v>
      </c>
      <c r="G20" s="11">
        <f>E20/$D$4+D20*$E$4/$D$4^2</f>
        <v>0.00810138048336696</v>
      </c>
      <c r="I20" s="9">
        <f t="array" ref="I20:K22">LINEST(F4:F21,A4:A21^{1,2},1,1)</f>
        <v>2.62929184307659e-7</v>
      </c>
      <c r="J20" s="9">
        <v>9.41185722843227e-6</v>
      </c>
      <c r="K20" s="9">
        <v>0.000183268075164553</v>
      </c>
      <c r="M20" s="9">
        <f>J20/10^-6</f>
        <v>9.41185722843228</v>
      </c>
      <c r="N20" s="9">
        <f>K20*10000</f>
        <v>1.83268075164553</v>
      </c>
    </row>
    <row r="21" spans="1:14">
      <c r="A21" s="10">
        <v>299.454</v>
      </c>
      <c r="B21" s="9">
        <v>1.63</v>
      </c>
      <c r="C21" s="9">
        <v>54.3333333333333</v>
      </c>
      <c r="D21" s="10">
        <v>54.3</v>
      </c>
      <c r="E21" s="10">
        <f>$B$24/$F$1+B21*$B$26/$F$1^2</f>
        <v>0.214444444444444</v>
      </c>
      <c r="F21" s="11">
        <f>(D21-$D$4)/$D$4</f>
        <v>0.0245283018867924</v>
      </c>
      <c r="G21" s="11">
        <f>E21/$D$4+D21*$E$4/$D$4^2</f>
        <v>0.00810557335548436</v>
      </c>
      <c r="I21" s="9">
        <v>5.8680069449438e-8</v>
      </c>
      <c r="J21" s="9">
        <v>1.71308163364222e-5</v>
      </c>
      <c r="K21" s="9">
        <v>0.000926819468290099</v>
      </c>
      <c r="M21" s="9">
        <f>J21/10^-6</f>
        <v>17.1308163364222</v>
      </c>
      <c r="N21" s="9">
        <f>K21*10000</f>
        <v>9.26819468290099</v>
      </c>
    </row>
    <row r="22" spans="9:11">
      <c r="I22" s="9">
        <v>0.962189655497702</v>
      </c>
      <c r="J22" s="9">
        <v>0.00187620665138156</v>
      </c>
      <c r="K22" s="9" t="e">
        <v>#N/A</v>
      </c>
    </row>
    <row r="23" spans="1:2">
      <c r="A23" s="9" t="s">
        <v>49</v>
      </c>
      <c r="B23" s="9">
        <v>0.1</v>
      </c>
    </row>
    <row r="24" spans="1:2">
      <c r="A24" s="9" t="s">
        <v>6</v>
      </c>
      <c r="B24" s="9">
        <v>0.001</v>
      </c>
    </row>
    <row r="25" spans="1:2">
      <c r="A25" s="9" t="s">
        <v>50</v>
      </c>
      <c r="B25" s="9">
        <v>0.1</v>
      </c>
    </row>
    <row r="26" spans="1:2">
      <c r="A26" s="9" t="s">
        <v>10</v>
      </c>
      <c r="B26" s="9">
        <v>0.0001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80" zoomScaleNormal="80" workbookViewId="0">
      <selection activeCell="L27" sqref="L27"/>
    </sheetView>
  </sheetViews>
  <sheetFormatPr defaultColWidth="8.72727272727273" defaultRowHeight="14.5" outlineLevelCol="6"/>
  <cols>
    <col min="4" max="4" width="12.8181818181818" customWidth="1"/>
    <col min="5" max="5" width="9.55454545454545" customWidth="1"/>
  </cols>
  <sheetData>
    <row r="1" spans="1:7">
      <c r="A1" t="s">
        <v>22</v>
      </c>
      <c r="B1" t="s">
        <v>44</v>
      </c>
      <c r="D1" t="s">
        <v>45</v>
      </c>
      <c r="E1">
        <v>30</v>
      </c>
      <c r="F1">
        <f>E1/1000</f>
        <v>0.03</v>
      </c>
      <c r="G1" t="s">
        <v>29</v>
      </c>
    </row>
    <row r="2" spans="1:7">
      <c r="A2" t="s">
        <v>23</v>
      </c>
      <c r="B2" t="s">
        <v>46</v>
      </c>
      <c r="D2" t="s">
        <v>47</v>
      </c>
      <c r="E2" t="s">
        <v>5</v>
      </c>
      <c r="F2" t="s">
        <v>48</v>
      </c>
      <c r="G2" t="s">
        <v>5</v>
      </c>
    </row>
    <row r="4" spans="1:7">
      <c r="A4" s="7">
        <v>0.968</v>
      </c>
      <c r="B4">
        <v>1.59</v>
      </c>
      <c r="C4">
        <v>53</v>
      </c>
      <c r="D4" s="7">
        <v>53</v>
      </c>
      <c r="E4" s="7">
        <f>$B$24/$F$1+B4*$B$26/$F$1^2</f>
        <v>0.21</v>
      </c>
      <c r="F4" s="8">
        <f>(D4-$D$4)/$D$4</f>
        <v>0</v>
      </c>
      <c r="G4" s="8">
        <f>E4/$D$4+D4*$E$4/$D$4^2</f>
        <v>0.00792452830188679</v>
      </c>
    </row>
    <row r="5" spans="1:7">
      <c r="A5" s="7">
        <v>0.986</v>
      </c>
      <c r="B5">
        <v>1.591</v>
      </c>
      <c r="C5">
        <v>53.0333333333333</v>
      </c>
      <c r="D5" s="7">
        <v>53</v>
      </c>
      <c r="E5" s="7">
        <f>$B$24/$F$1+B5*$B$26/$F$1^2</f>
        <v>0.210111111111111</v>
      </c>
      <c r="F5" s="8">
        <f>(D5-$D$4)/$D$4</f>
        <v>0</v>
      </c>
      <c r="G5" s="8">
        <f>E5/$D$4+D5*$E$4/$D$4^2</f>
        <v>0.00792662473794549</v>
      </c>
    </row>
    <row r="6" spans="1:7">
      <c r="A6" s="7">
        <v>7.612</v>
      </c>
      <c r="B6">
        <v>1.59</v>
      </c>
      <c r="C6">
        <v>53</v>
      </c>
      <c r="D6" s="7">
        <v>53</v>
      </c>
      <c r="E6" s="7">
        <f>$B$24/$F$1+B6*$B$26/$F$1^2</f>
        <v>0.21</v>
      </c>
      <c r="F6" s="8">
        <f>(D6-$D$4)/$D$4</f>
        <v>0</v>
      </c>
      <c r="G6" s="8">
        <f>E6/$D$4+D6*$E$4/$D$4^2</f>
        <v>0.00792452830188679</v>
      </c>
    </row>
    <row r="7" spans="1:7">
      <c r="A7" s="7">
        <v>23.99</v>
      </c>
      <c r="B7">
        <v>1.592</v>
      </c>
      <c r="C7">
        <v>53.0666666666667</v>
      </c>
      <c r="D7" s="7">
        <v>53.1</v>
      </c>
      <c r="E7" s="7">
        <f>$B$24/$F$1+B7*$B$26/$F$1^2</f>
        <v>0.210222222222222</v>
      </c>
      <c r="F7" s="8">
        <f>(D7-$D$4)/$D$4</f>
        <v>0.00188679245283022</v>
      </c>
      <c r="G7" s="8">
        <f>E7/$D$4+D7*$E$4/$D$4^2</f>
        <v>0.00793619714410031</v>
      </c>
    </row>
    <row r="8" spans="1:7">
      <c r="A8" s="7">
        <v>36.626</v>
      </c>
      <c r="B8">
        <v>1.592</v>
      </c>
      <c r="C8">
        <v>53.0666666666667</v>
      </c>
      <c r="D8" s="7">
        <v>53.1</v>
      </c>
      <c r="E8" s="7">
        <f>$B$24/$F$1+B8*$B$26/$F$1^2</f>
        <v>0.210222222222222</v>
      </c>
      <c r="F8" s="8">
        <f>(D8-$D$4)/$D$4</f>
        <v>0.00188679245283022</v>
      </c>
      <c r="G8" s="8">
        <f>E8/$D$4+D8*$E$4/$D$4^2</f>
        <v>0.00793619714410031</v>
      </c>
    </row>
    <row r="9" spans="1:7">
      <c r="A9" s="7">
        <v>48.856</v>
      </c>
      <c r="B9">
        <v>1.589</v>
      </c>
      <c r="C9">
        <v>52.9666666666667</v>
      </c>
      <c r="D9" s="7">
        <v>53</v>
      </c>
      <c r="E9" s="7">
        <f>$B$24/$F$1+B9*$B$26/$F$1^2</f>
        <v>0.209888888888889</v>
      </c>
      <c r="F9" s="8">
        <f>(D9-$D$4)/$D$4</f>
        <v>0</v>
      </c>
      <c r="G9" s="8">
        <f>E9/$D$4+D9*$E$4/$D$4^2</f>
        <v>0.00792243186582809</v>
      </c>
    </row>
    <row r="10" spans="1:7">
      <c r="A10" s="7">
        <v>64.979</v>
      </c>
      <c r="B10">
        <v>1.593</v>
      </c>
      <c r="C10">
        <v>53.1</v>
      </c>
      <c r="D10" s="7">
        <v>53.1</v>
      </c>
      <c r="E10" s="7">
        <f>$B$24/$F$1+B10*$B$26/$F$1^2</f>
        <v>0.210333333333333</v>
      </c>
      <c r="F10" s="8">
        <f>(D10-$D$4)/$D$4</f>
        <v>0.00188679245283022</v>
      </c>
      <c r="G10" s="8">
        <f>E10/$D$4+D10*$E$4/$D$4^2</f>
        <v>0.00793829358015901</v>
      </c>
    </row>
    <row r="11" spans="1:7">
      <c r="A11" s="7">
        <v>85.544</v>
      </c>
      <c r="B11">
        <v>1.591</v>
      </c>
      <c r="C11">
        <v>53.0333333333333</v>
      </c>
      <c r="D11" s="7">
        <v>53</v>
      </c>
      <c r="E11" s="7">
        <f>$B$24/$F$1+B11*$B$26/$F$1^2</f>
        <v>0.210111111111111</v>
      </c>
      <c r="F11" s="8">
        <f>(D11-$D$4)/$D$4</f>
        <v>0</v>
      </c>
      <c r="G11" s="8">
        <f>E11/$D$4+D11*$E$4/$D$4^2</f>
        <v>0.00792662473794549</v>
      </c>
    </row>
    <row r="12" spans="1:7">
      <c r="A12" s="7">
        <v>112.03</v>
      </c>
      <c r="B12">
        <v>1.601</v>
      </c>
      <c r="C12">
        <v>53.3666666666667</v>
      </c>
      <c r="D12" s="7">
        <v>53.4</v>
      </c>
      <c r="E12" s="7">
        <f>$B$24/$F$1+B12*$B$26/$F$1^2</f>
        <v>0.211222222222222</v>
      </c>
      <c r="F12" s="8">
        <f>(D12-$D$4)/$D$4</f>
        <v>0.00754716981132073</v>
      </c>
      <c r="G12" s="8">
        <f>E12/$D$4+D12*$E$4/$D$4^2</f>
        <v>0.00797749297891697</v>
      </c>
    </row>
    <row r="13" spans="1:7">
      <c r="A13" s="7">
        <v>137.869</v>
      </c>
      <c r="B13">
        <v>1.601</v>
      </c>
      <c r="C13">
        <v>53.3666666666667</v>
      </c>
      <c r="D13" s="7">
        <v>53.4</v>
      </c>
      <c r="E13" s="7">
        <f>$B$24/$F$1+B13*$B$26/$F$1^2</f>
        <v>0.211222222222222</v>
      </c>
      <c r="F13" s="8">
        <f>(D13-$D$4)/$D$4</f>
        <v>0.00754716981132073</v>
      </c>
      <c r="G13" s="8">
        <f>E13/$D$4+D13*$E$4/$D$4^2</f>
        <v>0.00797749297891697</v>
      </c>
    </row>
    <row r="14" spans="1:7">
      <c r="A14" s="7">
        <v>157.337</v>
      </c>
      <c r="B14">
        <v>1.602</v>
      </c>
      <c r="C14">
        <v>53.4</v>
      </c>
      <c r="D14" s="7">
        <v>53.4</v>
      </c>
      <c r="E14" s="7">
        <f>$B$24/$F$1+B14*$B$26/$F$1^2</f>
        <v>0.211333333333333</v>
      </c>
      <c r="F14" s="8">
        <f>(D14-$D$4)/$D$4</f>
        <v>0.00754716981132073</v>
      </c>
      <c r="G14" s="8">
        <f>E14/$D$4+D14*$E$4/$D$4^2</f>
        <v>0.00797958941497567</v>
      </c>
    </row>
    <row r="15" spans="1:7">
      <c r="A15" s="7">
        <v>184.416</v>
      </c>
      <c r="B15">
        <v>1.609</v>
      </c>
      <c r="C15">
        <v>53.6333333333333</v>
      </c>
      <c r="D15" s="7">
        <v>53.6</v>
      </c>
      <c r="E15" s="7">
        <f>$B$24/$F$1+B15*$B$26/$F$1^2</f>
        <v>0.212111111111111</v>
      </c>
      <c r="F15" s="8">
        <f>(D15-$D$4)/$D$4</f>
        <v>0.0113207547169812</v>
      </c>
      <c r="G15" s="8">
        <f>E15/$D$4+D15*$E$4/$D$4^2</f>
        <v>0.00800921640757881</v>
      </c>
    </row>
    <row r="16" spans="1:7">
      <c r="A16" s="7">
        <v>208.308</v>
      </c>
      <c r="B16">
        <v>1.606</v>
      </c>
      <c r="C16">
        <v>53.5333333333333</v>
      </c>
      <c r="D16" s="7">
        <v>53.5</v>
      </c>
      <c r="E16" s="7">
        <f>$B$24/$F$1+B16*$B$26/$F$1^2</f>
        <v>0.211777777777778</v>
      </c>
      <c r="F16" s="8">
        <f>(D16-$D$4)/$D$4</f>
        <v>0.00943396226415094</v>
      </c>
      <c r="G16" s="8">
        <f>E16/$D$4+D16*$E$4/$D$4^2</f>
        <v>0.00799545112930659</v>
      </c>
    </row>
    <row r="17" spans="1:7">
      <c r="A17" s="7">
        <v>228.838</v>
      </c>
      <c r="B17">
        <v>1.618</v>
      </c>
      <c r="C17">
        <v>53.9333333333333</v>
      </c>
      <c r="D17" s="7">
        <v>53.9</v>
      </c>
      <c r="E17" s="7">
        <f>$B$24/$F$1+B17*$B$26/$F$1^2</f>
        <v>0.213111111111111</v>
      </c>
      <c r="F17" s="8">
        <f>(D17-$D$4)/$D$4</f>
        <v>0.0169811320754717</v>
      </c>
      <c r="G17" s="8">
        <f>E17/$D$4+D17*$E$4/$D$4^2</f>
        <v>0.00805051224239547</v>
      </c>
    </row>
    <row r="18" spans="1:7">
      <c r="A18" s="7">
        <v>248.129</v>
      </c>
      <c r="B18">
        <v>1.621</v>
      </c>
      <c r="C18">
        <v>54.0333333333333</v>
      </c>
      <c r="D18" s="7">
        <v>54</v>
      </c>
      <c r="E18" s="7">
        <f>$B$24/$F$1+B18*$B$26/$F$1^2</f>
        <v>0.213444444444444</v>
      </c>
      <c r="F18" s="8">
        <f>(D18-$D$4)/$D$4</f>
        <v>0.0188679245283019</v>
      </c>
      <c r="G18" s="8">
        <f>E18/$D$4+D18*$E$4/$D$4^2</f>
        <v>0.00806427752066769</v>
      </c>
    </row>
    <row r="19" spans="1:7">
      <c r="A19" s="7">
        <v>262.819</v>
      </c>
      <c r="B19">
        <v>1.626</v>
      </c>
      <c r="C19">
        <v>54.2</v>
      </c>
      <c r="D19" s="7">
        <v>54.2</v>
      </c>
      <c r="E19" s="7">
        <f>$B$24/$F$1+B19*$B$26/$F$1^2</f>
        <v>0.214</v>
      </c>
      <c r="F19" s="8">
        <f>(D19-$D$4)/$D$4</f>
        <v>0.0226415094339623</v>
      </c>
      <c r="G19" s="8">
        <f>E19/$D$4+D19*$E$4/$D$4^2</f>
        <v>0.00808971164115344</v>
      </c>
    </row>
    <row r="20" spans="1:7">
      <c r="A20" s="7">
        <v>274.677</v>
      </c>
      <c r="B20">
        <v>1.628</v>
      </c>
      <c r="C20">
        <v>54.2666666666667</v>
      </c>
      <c r="D20" s="7">
        <v>54.3</v>
      </c>
      <c r="E20" s="7">
        <f>$B$24/$F$1+B20*$B$26/$F$1^2</f>
        <v>0.214222222222222</v>
      </c>
      <c r="F20" s="8">
        <f>(D20-$D$4)/$D$4</f>
        <v>0.0245283018867924</v>
      </c>
      <c r="G20" s="8">
        <f>E20/$D$4+D20*$E$4/$D$4^2</f>
        <v>0.00810138048336696</v>
      </c>
    </row>
    <row r="21" spans="1:7">
      <c r="A21" s="7">
        <v>299.454</v>
      </c>
      <c r="B21">
        <v>1.63</v>
      </c>
      <c r="C21">
        <v>54.3333333333333</v>
      </c>
      <c r="D21" s="7">
        <v>54.3</v>
      </c>
      <c r="E21" s="7">
        <f>$B$24/$F$1+B21*$B$26/$F$1^2</f>
        <v>0.214444444444444</v>
      </c>
      <c r="F21" s="8">
        <f>(D21-$D$4)/$D$4</f>
        <v>0.0245283018867924</v>
      </c>
      <c r="G21" s="8">
        <f>E21/$D$4+D21*$E$4/$D$4^2</f>
        <v>0.00810557335548436</v>
      </c>
    </row>
    <row r="23" spans="1:2">
      <c r="A23" t="s">
        <v>49</v>
      </c>
      <c r="B23">
        <v>0.1</v>
      </c>
    </row>
    <row r="24" spans="1:2">
      <c r="A24" t="s">
        <v>6</v>
      </c>
      <c r="B24">
        <v>0.001</v>
      </c>
    </row>
    <row r="25" spans="1:2">
      <c r="A25" t="s">
        <v>50</v>
      </c>
      <c r="B25">
        <v>0.1</v>
      </c>
    </row>
    <row r="26" spans="1:2">
      <c r="A26" t="s">
        <v>10</v>
      </c>
      <c r="B26">
        <v>0.0001</v>
      </c>
    </row>
  </sheetData>
  <pageMargins left="0.75" right="0.75" top="1" bottom="1" header="0.511811023622047" footer="0.511811023622047"/>
  <pageSetup paperSize="9" orientation="portrait" horizontalDpi="300" verticalDpi="3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zoomScale="70" zoomScaleNormal="70" workbookViewId="0">
      <selection activeCell="K26" sqref="K26"/>
    </sheetView>
  </sheetViews>
  <sheetFormatPr defaultColWidth="8.72727272727273" defaultRowHeight="14.5" outlineLevelCol="4"/>
  <cols>
    <col min="1" max="1" width="12.0909090909091" customWidth="1"/>
  </cols>
  <sheetData>
    <row r="1" spans="1:2">
      <c r="A1" t="s">
        <v>51</v>
      </c>
      <c r="B1" t="s">
        <v>1</v>
      </c>
    </row>
    <row r="2" spans="1:5">
      <c r="A2" t="s">
        <v>52</v>
      </c>
      <c r="B2" t="s">
        <v>3</v>
      </c>
      <c r="D2" t="s">
        <v>53</v>
      </c>
      <c r="E2">
        <v>0.1</v>
      </c>
    </row>
    <row r="3" spans="4:5">
      <c r="D3" t="s">
        <v>54</v>
      </c>
      <c r="E3">
        <v>0.1</v>
      </c>
    </row>
    <row r="4" spans="1:2">
      <c r="A4">
        <v>29.5</v>
      </c>
      <c r="B4">
        <v>47.6</v>
      </c>
    </row>
    <row r="5" spans="1:2">
      <c r="A5">
        <v>31.4</v>
      </c>
      <c r="B5">
        <v>51.9</v>
      </c>
    </row>
    <row r="6" spans="1:2">
      <c r="A6">
        <v>33</v>
      </c>
      <c r="B6">
        <v>52</v>
      </c>
    </row>
    <row r="7" spans="1:2">
      <c r="A7">
        <v>34.8</v>
      </c>
      <c r="B7">
        <v>52.1</v>
      </c>
    </row>
    <row r="8" spans="1:2">
      <c r="A8">
        <v>37.6</v>
      </c>
      <c r="B8">
        <v>52</v>
      </c>
    </row>
    <row r="9" spans="1:2">
      <c r="A9">
        <v>39.5</v>
      </c>
      <c r="B9">
        <v>52</v>
      </c>
    </row>
    <row r="10" spans="1:2">
      <c r="A10">
        <v>41.5</v>
      </c>
      <c r="B10">
        <v>52</v>
      </c>
    </row>
    <row r="11" spans="1:2">
      <c r="A11">
        <v>43.7</v>
      </c>
      <c r="B11">
        <v>51.9</v>
      </c>
    </row>
    <row r="12" spans="1:2">
      <c r="A12">
        <v>45.9</v>
      </c>
      <c r="B12">
        <v>51.6</v>
      </c>
    </row>
    <row r="13" spans="1:2">
      <c r="A13">
        <v>49</v>
      </c>
      <c r="B13">
        <v>51.4</v>
      </c>
    </row>
    <row r="14" spans="1:2">
      <c r="A14">
        <v>51.3</v>
      </c>
      <c r="B14">
        <v>51.1</v>
      </c>
    </row>
    <row r="15" spans="1:2">
      <c r="A15">
        <v>53.5</v>
      </c>
      <c r="B15">
        <v>50.7</v>
      </c>
    </row>
    <row r="16" spans="1:2">
      <c r="A16">
        <v>55.7</v>
      </c>
      <c r="B16">
        <v>50.1</v>
      </c>
    </row>
    <row r="17" spans="1:2">
      <c r="A17">
        <v>58.9</v>
      </c>
      <c r="B17">
        <v>49.2</v>
      </c>
    </row>
    <row r="18" spans="1:2">
      <c r="A18">
        <v>60.9</v>
      </c>
      <c r="B18">
        <v>48.3</v>
      </c>
    </row>
    <row r="19" spans="1:2">
      <c r="A19">
        <v>63.1</v>
      </c>
      <c r="B19">
        <v>47.3</v>
      </c>
    </row>
    <row r="20" spans="1:2">
      <c r="A20">
        <v>65.2</v>
      </c>
      <c r="B20">
        <v>46.1</v>
      </c>
    </row>
    <row r="21" spans="1:2">
      <c r="A21">
        <v>67.4</v>
      </c>
      <c r="B21">
        <v>44.8</v>
      </c>
    </row>
    <row r="22" spans="1:2">
      <c r="A22">
        <v>70.2</v>
      </c>
      <c r="B22">
        <v>42.4</v>
      </c>
    </row>
    <row r="23" spans="1:2">
      <c r="A23">
        <v>72.3</v>
      </c>
      <c r="B23">
        <v>40.5</v>
      </c>
    </row>
    <row r="24" spans="1:2">
      <c r="A24">
        <v>74.3</v>
      </c>
      <c r="B24">
        <v>38.3</v>
      </c>
    </row>
    <row r="25" spans="1:2">
      <c r="A25">
        <v>76.1</v>
      </c>
      <c r="B25">
        <v>36.1</v>
      </c>
    </row>
    <row r="26" spans="1:2">
      <c r="A26">
        <v>77.9</v>
      </c>
      <c r="B26">
        <v>33.5</v>
      </c>
    </row>
    <row r="27" spans="1:2">
      <c r="A27">
        <v>80.9</v>
      </c>
      <c r="B27">
        <v>29.4</v>
      </c>
    </row>
    <row r="28" spans="1:2">
      <c r="A28">
        <v>82.7</v>
      </c>
      <c r="B28">
        <v>26.5</v>
      </c>
    </row>
    <row r="29" spans="1:2">
      <c r="A29">
        <v>84.3</v>
      </c>
      <c r="B29">
        <v>23.4</v>
      </c>
    </row>
    <row r="30" spans="1:2">
      <c r="A30">
        <v>86</v>
      </c>
      <c r="B30">
        <v>20.3</v>
      </c>
    </row>
    <row r="31" spans="1:2">
      <c r="A31">
        <v>87.9</v>
      </c>
      <c r="B31">
        <v>17.1</v>
      </c>
    </row>
    <row r="32" spans="1:2">
      <c r="A32">
        <v>90.6</v>
      </c>
      <c r="B32">
        <v>12.5</v>
      </c>
    </row>
    <row r="33" spans="1:2">
      <c r="A33">
        <v>92.1</v>
      </c>
      <c r="B33">
        <v>9.4</v>
      </c>
    </row>
    <row r="34" spans="1:2">
      <c r="A34">
        <v>93.7</v>
      </c>
      <c r="B34">
        <v>6.5</v>
      </c>
    </row>
    <row r="35" spans="1:2">
      <c r="A35">
        <v>95.4</v>
      </c>
      <c r="B35">
        <v>3.7</v>
      </c>
    </row>
    <row r="36" spans="1:2">
      <c r="A36">
        <v>97.4</v>
      </c>
      <c r="B36">
        <v>-0.2</v>
      </c>
    </row>
    <row r="37" spans="1:2">
      <c r="A37">
        <v>99.1</v>
      </c>
      <c r="B37">
        <v>-2.6</v>
      </c>
    </row>
    <row r="38" spans="1:2">
      <c r="A38">
        <v>100.7</v>
      </c>
      <c r="B38">
        <v>-4.9</v>
      </c>
    </row>
    <row r="39" spans="1:2">
      <c r="A39">
        <v>102</v>
      </c>
      <c r="B39">
        <v>-6.8</v>
      </c>
    </row>
    <row r="40" spans="1:2">
      <c r="A40">
        <v>103.1</v>
      </c>
      <c r="B40">
        <v>-8.6</v>
      </c>
    </row>
    <row r="41" spans="1:2">
      <c r="A41">
        <v>105.8</v>
      </c>
      <c r="B41">
        <v>-10.9</v>
      </c>
    </row>
    <row r="42" spans="1:2">
      <c r="A42">
        <v>107.1</v>
      </c>
      <c r="B42">
        <v>-12.2</v>
      </c>
    </row>
    <row r="43" spans="1:2">
      <c r="A43">
        <v>108.4</v>
      </c>
      <c r="B43">
        <v>-13.4</v>
      </c>
    </row>
    <row r="44" spans="1:2">
      <c r="A44">
        <v>109.9</v>
      </c>
      <c r="B44">
        <v>-14.5</v>
      </c>
    </row>
    <row r="45" spans="1:2">
      <c r="A45">
        <v>111.8</v>
      </c>
      <c r="B45">
        <v>-15.8</v>
      </c>
    </row>
    <row r="46" spans="1:2">
      <c r="A46">
        <v>113.2</v>
      </c>
      <c r="B46">
        <v>-16.6</v>
      </c>
    </row>
    <row r="47" spans="1:2">
      <c r="A47">
        <v>114.1</v>
      </c>
      <c r="B47">
        <v>-17.4</v>
      </c>
    </row>
    <row r="48" spans="1:2">
      <c r="A48">
        <v>115.1</v>
      </c>
      <c r="B48">
        <v>-17.6</v>
      </c>
    </row>
    <row r="49" spans="1:2">
      <c r="A49">
        <v>116.9</v>
      </c>
      <c r="B49">
        <v>-18</v>
      </c>
    </row>
    <row r="50" spans="1:2">
      <c r="A50">
        <v>118.1</v>
      </c>
      <c r="B50">
        <v>-18.2</v>
      </c>
    </row>
    <row r="51" spans="1:2">
      <c r="A51">
        <v>119.3</v>
      </c>
      <c r="B51">
        <v>-18.4</v>
      </c>
    </row>
    <row r="52" spans="1:2">
      <c r="A52">
        <v>120.5</v>
      </c>
      <c r="B52">
        <v>-18.5</v>
      </c>
    </row>
    <row r="53" spans="1:2">
      <c r="A53">
        <v>121.5</v>
      </c>
      <c r="B53">
        <v>-18.6</v>
      </c>
    </row>
    <row r="54" spans="1:2">
      <c r="A54">
        <v>123</v>
      </c>
      <c r="B54">
        <v>-18.7</v>
      </c>
    </row>
    <row r="55" spans="1:2">
      <c r="A55">
        <v>124.4</v>
      </c>
      <c r="B55">
        <v>-18.7</v>
      </c>
    </row>
    <row r="56" spans="1:2">
      <c r="A56">
        <v>125.5</v>
      </c>
      <c r="B56">
        <v>-18.7</v>
      </c>
    </row>
    <row r="57" spans="1:2">
      <c r="A57">
        <v>126</v>
      </c>
      <c r="B57">
        <v>-18.7</v>
      </c>
    </row>
    <row r="58" spans="1:2">
      <c r="A58">
        <v>128.2</v>
      </c>
      <c r="B58">
        <v>-18.6</v>
      </c>
    </row>
    <row r="59" spans="1:2">
      <c r="A59">
        <v>129</v>
      </c>
      <c r="B59">
        <v>-18.5</v>
      </c>
    </row>
    <row r="60" spans="1:2">
      <c r="A60">
        <v>129.9</v>
      </c>
      <c r="B60">
        <v>-18.4</v>
      </c>
    </row>
    <row r="61" spans="1:2">
      <c r="A61">
        <v>130.7</v>
      </c>
      <c r="B61">
        <v>-18.3</v>
      </c>
    </row>
    <row r="62" spans="1:2">
      <c r="A62">
        <v>131.6</v>
      </c>
      <c r="B62">
        <v>-18.2</v>
      </c>
    </row>
    <row r="63" spans="1:2">
      <c r="A63">
        <v>132.7</v>
      </c>
      <c r="B63">
        <v>-18</v>
      </c>
    </row>
    <row r="64" spans="1:2">
      <c r="A64">
        <v>133.7</v>
      </c>
      <c r="B64">
        <v>-17.9</v>
      </c>
    </row>
    <row r="65" spans="1:2">
      <c r="A65">
        <v>134.3</v>
      </c>
      <c r="B65">
        <v>-17.7</v>
      </c>
    </row>
    <row r="66" spans="1:2">
      <c r="A66">
        <v>135.6</v>
      </c>
      <c r="B66">
        <v>-17.6</v>
      </c>
    </row>
    <row r="67" spans="1:2">
      <c r="A67">
        <v>136.6</v>
      </c>
      <c r="B67">
        <v>-17.4</v>
      </c>
    </row>
    <row r="68" spans="1:2">
      <c r="A68">
        <v>137.3</v>
      </c>
      <c r="B68">
        <v>-17.2</v>
      </c>
    </row>
    <row r="69" spans="1:2">
      <c r="A69">
        <v>138.1</v>
      </c>
      <c r="B69">
        <v>-17</v>
      </c>
    </row>
    <row r="70" spans="1:2">
      <c r="A70">
        <v>138.8</v>
      </c>
      <c r="B70">
        <v>-16.9</v>
      </c>
    </row>
  </sheetData>
  <pageMargins left="0.75" right="0.75" top="1" bottom="1" header="0.511811023622047" footer="0.511811023622047"/>
  <pageSetup paperSize="9" orientation="portrait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workbookViewId="0">
      <selection activeCell="T10" sqref="T10"/>
    </sheetView>
  </sheetViews>
  <sheetFormatPr defaultColWidth="8.72727272727273" defaultRowHeight="14.5"/>
  <cols>
    <col min="7" max="7" width="8.63636363636364" customWidth="1"/>
    <col min="9" max="9" width="13.9090909090909" customWidth="1"/>
    <col min="12" max="12" width="14" customWidth="1"/>
    <col min="13" max="13" width="12.8181818181818" customWidth="1"/>
    <col min="16" max="16" width="12.8181818181818" customWidth="1"/>
    <col min="18" max="18" width="13.9090909090909" customWidth="1"/>
  </cols>
  <sheetData>
    <row r="1" spans="1:2">
      <c r="A1" t="s">
        <v>51</v>
      </c>
      <c r="B1" t="s">
        <v>44</v>
      </c>
    </row>
    <row r="2" spans="1:10">
      <c r="A2" t="s">
        <v>52</v>
      </c>
      <c r="B2" t="s">
        <v>46</v>
      </c>
      <c r="C2" t="s">
        <v>55</v>
      </c>
      <c r="D2" t="s">
        <v>56</v>
      </c>
      <c r="E2">
        <v>0.1</v>
      </c>
      <c r="G2" t="s">
        <v>57</v>
      </c>
      <c r="H2" t="s">
        <v>58</v>
      </c>
      <c r="I2" t="s">
        <v>59</v>
      </c>
      <c r="J2" t="s">
        <v>60</v>
      </c>
    </row>
    <row r="3" spans="4:5">
      <c r="D3" t="s">
        <v>6</v>
      </c>
      <c r="E3">
        <v>0.01</v>
      </c>
    </row>
    <row r="4" spans="1:10">
      <c r="A4">
        <v>33</v>
      </c>
      <c r="B4">
        <v>1.64</v>
      </c>
      <c r="C4">
        <f t="shared" ref="C4:C64" si="0">A4+273</f>
        <v>306</v>
      </c>
      <c r="G4" s="1">
        <f t="shared" ref="G4:G64" si="1">1/C4</f>
        <v>0.00326797385620915</v>
      </c>
      <c r="H4" s="2">
        <f t="shared" ref="H4:H64" si="2">LN(1/B4)</f>
        <v>-0.494696241836107</v>
      </c>
      <c r="I4" s="4">
        <f>$E$2/C4^2</f>
        <v>1.06796531248665e-6</v>
      </c>
      <c r="J4" s="2">
        <f>$E$3/B4</f>
        <v>0.00609756097560976</v>
      </c>
    </row>
    <row r="5" spans="1:10">
      <c r="A5">
        <v>33.7</v>
      </c>
      <c r="B5">
        <v>1.64</v>
      </c>
      <c r="C5">
        <f t="shared" si="0"/>
        <v>306.7</v>
      </c>
      <c r="G5" s="1">
        <f t="shared" si="1"/>
        <v>0.0032605151613955</v>
      </c>
      <c r="H5" s="2">
        <f t="shared" si="2"/>
        <v>-0.494696241836107</v>
      </c>
      <c r="I5" s="4">
        <f>$E$2/C5^2</f>
        <v>1.06309591176899e-6</v>
      </c>
      <c r="J5" s="2">
        <f>$E$3/B5</f>
        <v>0.00609756097560976</v>
      </c>
    </row>
    <row r="6" spans="1:10">
      <c r="A6">
        <v>34.7</v>
      </c>
      <c r="B6">
        <v>1.65</v>
      </c>
      <c r="C6">
        <f t="shared" si="0"/>
        <v>307.7</v>
      </c>
      <c r="G6" s="1">
        <f t="shared" si="1"/>
        <v>0.0032499187520312</v>
      </c>
      <c r="H6" s="2">
        <f t="shared" si="2"/>
        <v>-0.500775287912489</v>
      </c>
      <c r="I6" s="4">
        <f>$E$2/C6^2</f>
        <v>1.0561971894804e-6</v>
      </c>
      <c r="J6" s="2">
        <f>$E$3/B6</f>
        <v>0.00606060606060606</v>
      </c>
    </row>
    <row r="7" spans="1:10">
      <c r="A7">
        <v>36.1</v>
      </c>
      <c r="B7">
        <v>1.65</v>
      </c>
      <c r="C7">
        <f t="shared" si="0"/>
        <v>309.1</v>
      </c>
      <c r="G7" s="1">
        <f t="shared" si="1"/>
        <v>0.00323519896473633</v>
      </c>
      <c r="H7" s="2">
        <f t="shared" si="2"/>
        <v>-0.500775287912489</v>
      </c>
      <c r="I7" s="4">
        <f>$E$2/C7^2</f>
        <v>1.0466512341431e-6</v>
      </c>
      <c r="J7" s="2">
        <f>$E$3/B7</f>
        <v>0.00606060606060606</v>
      </c>
    </row>
    <row r="8" spans="1:10">
      <c r="A8">
        <v>37.6</v>
      </c>
      <c r="B8">
        <v>1.66</v>
      </c>
      <c r="C8">
        <f t="shared" si="0"/>
        <v>310.6</v>
      </c>
      <c r="G8" s="1">
        <f t="shared" si="1"/>
        <v>0.00321957501609787</v>
      </c>
      <c r="H8" s="2">
        <f t="shared" si="2"/>
        <v>-0.506817602368452</v>
      </c>
      <c r="I8" s="4">
        <f>$E$2/C8^2</f>
        <v>1.03656632842816e-6</v>
      </c>
      <c r="J8" s="2">
        <f>$E$3/B8</f>
        <v>0.00602409638554217</v>
      </c>
    </row>
    <row r="9" spans="1:10">
      <c r="A9">
        <v>40.4</v>
      </c>
      <c r="B9">
        <v>1.69</v>
      </c>
      <c r="C9">
        <f t="shared" si="0"/>
        <v>313.4</v>
      </c>
      <c r="G9" s="1">
        <f t="shared" si="1"/>
        <v>0.00319081046585833</v>
      </c>
      <c r="H9" s="2">
        <f t="shared" si="2"/>
        <v>-0.524728528934982</v>
      </c>
      <c r="I9" s="4">
        <f>$E$2/C9^2</f>
        <v>1.0181271429031e-6</v>
      </c>
      <c r="J9" s="2">
        <f>$E$3/B9</f>
        <v>0.00591715976331361</v>
      </c>
    </row>
    <row r="10" spans="1:10">
      <c r="A10">
        <v>42.4</v>
      </c>
      <c r="B10">
        <v>1.71</v>
      </c>
      <c r="C10">
        <f t="shared" si="0"/>
        <v>315.4</v>
      </c>
      <c r="G10" s="1">
        <f t="shared" si="1"/>
        <v>0.00317057704502219</v>
      </c>
      <c r="H10" s="2">
        <f t="shared" si="2"/>
        <v>-0.536493370514569</v>
      </c>
      <c r="I10" s="4">
        <f>$E$2/C10^2</f>
        <v>1.00525587984217e-6</v>
      </c>
      <c r="J10" s="2">
        <f>$E$3/B10</f>
        <v>0.00584795321637427</v>
      </c>
    </row>
    <row r="11" spans="1:10">
      <c r="A11">
        <v>44.6</v>
      </c>
      <c r="B11">
        <v>1.73</v>
      </c>
      <c r="C11">
        <f t="shared" si="0"/>
        <v>317.6</v>
      </c>
      <c r="G11" s="1">
        <f t="shared" si="1"/>
        <v>0.00314861460957179</v>
      </c>
      <c r="H11" s="2">
        <f t="shared" si="2"/>
        <v>-0.548121408509687</v>
      </c>
      <c r="I11" s="4">
        <f>$E$2/C11^2</f>
        <v>9.9137739596089e-7</v>
      </c>
      <c r="J11" s="2">
        <f>$E$3/B11</f>
        <v>0.00578034682080925</v>
      </c>
    </row>
    <row r="12" spans="1:10">
      <c r="A12">
        <v>46.5</v>
      </c>
      <c r="B12">
        <v>1.75</v>
      </c>
      <c r="C12">
        <f t="shared" si="0"/>
        <v>319.5</v>
      </c>
      <c r="G12" s="1">
        <f t="shared" si="1"/>
        <v>0.00312989045383412</v>
      </c>
      <c r="H12" s="2">
        <f t="shared" si="2"/>
        <v>-0.559615787935423</v>
      </c>
      <c r="I12" s="4">
        <f>$E$2/C12^2</f>
        <v>9.79621425300193e-7</v>
      </c>
      <c r="J12" s="2">
        <f>$E$3/B12</f>
        <v>0.00571428571428571</v>
      </c>
    </row>
    <row r="13" spans="1:10">
      <c r="A13">
        <v>49.7</v>
      </c>
      <c r="B13">
        <v>1.78</v>
      </c>
      <c r="C13">
        <f t="shared" si="0"/>
        <v>322.7</v>
      </c>
      <c r="G13" s="1">
        <f t="shared" si="1"/>
        <v>0.00309885342423303</v>
      </c>
      <c r="H13" s="2">
        <f t="shared" si="2"/>
        <v>-0.576613364303994</v>
      </c>
      <c r="I13" s="4">
        <f>$E$2/C13^2</f>
        <v>9.6028925448808e-7</v>
      </c>
      <c r="J13" s="2">
        <f>$E$3/B13</f>
        <v>0.00561797752808989</v>
      </c>
    </row>
    <row r="14" spans="1:10">
      <c r="A14">
        <v>51.9</v>
      </c>
      <c r="B14">
        <v>1.8</v>
      </c>
      <c r="C14">
        <f t="shared" si="0"/>
        <v>324.9</v>
      </c>
      <c r="G14" s="1">
        <f t="shared" si="1"/>
        <v>0.00307787011388119</v>
      </c>
      <c r="H14" s="2">
        <f t="shared" si="2"/>
        <v>-0.587786664902119</v>
      </c>
      <c r="I14" s="4">
        <f>$E$2/C14^2</f>
        <v>9.47328443792304e-7</v>
      </c>
      <c r="J14" s="2">
        <f>$E$3/B14</f>
        <v>0.00555555555555556</v>
      </c>
    </row>
    <row r="15" spans="1:10">
      <c r="A15">
        <v>54.1</v>
      </c>
      <c r="B15">
        <v>1.82</v>
      </c>
      <c r="C15">
        <f t="shared" si="0"/>
        <v>327.1</v>
      </c>
      <c r="G15" s="1">
        <f t="shared" si="1"/>
        <v>0.0030571690614491</v>
      </c>
      <c r="H15" s="2">
        <f t="shared" si="2"/>
        <v>-0.598836501088704</v>
      </c>
      <c r="I15" s="4">
        <f>$E$2/C15^2</f>
        <v>9.34628267028156e-7</v>
      </c>
      <c r="J15" s="2">
        <f>$E$3/B15</f>
        <v>0.00549450549450549</v>
      </c>
    </row>
    <row r="16" spans="1:10">
      <c r="A16">
        <v>56.2</v>
      </c>
      <c r="B16">
        <v>1.84</v>
      </c>
      <c r="C16">
        <f t="shared" si="0"/>
        <v>329.2</v>
      </c>
      <c r="G16" s="1">
        <f t="shared" si="1"/>
        <v>0.00303766707168894</v>
      </c>
      <c r="H16" s="2">
        <f t="shared" si="2"/>
        <v>-0.609765571620894</v>
      </c>
      <c r="I16" s="4">
        <f>$E$2/C16^2</f>
        <v>9.22742123842328e-7</v>
      </c>
      <c r="J16" s="2">
        <f>$E$3/B16</f>
        <v>0.00543478260869565</v>
      </c>
    </row>
    <row r="17" spans="1:10">
      <c r="A17">
        <v>59.7</v>
      </c>
      <c r="B17">
        <v>1.86</v>
      </c>
      <c r="C17">
        <f t="shared" si="0"/>
        <v>332.7</v>
      </c>
      <c r="G17" s="1">
        <f t="shared" si="1"/>
        <v>0.00300571085061617</v>
      </c>
      <c r="H17" s="2">
        <f t="shared" si="2"/>
        <v>-0.62057648772511</v>
      </c>
      <c r="I17" s="4">
        <f>$E$2/C17^2</f>
        <v>9.03429771751179e-7</v>
      </c>
      <c r="J17" s="2">
        <f>$E$3/B17</f>
        <v>0.0053763440860215</v>
      </c>
    </row>
    <row r="18" spans="1:10">
      <c r="A18">
        <v>61.8</v>
      </c>
      <c r="B18">
        <v>1.88</v>
      </c>
      <c r="C18">
        <f t="shared" si="0"/>
        <v>334.8</v>
      </c>
      <c r="G18" s="1">
        <f t="shared" si="1"/>
        <v>0.0029868578255675</v>
      </c>
      <c r="H18" s="2">
        <f t="shared" si="2"/>
        <v>-0.631271776841858</v>
      </c>
      <c r="I18" s="4">
        <f>$E$2/C18^2</f>
        <v>8.92131967015383e-7</v>
      </c>
      <c r="J18" s="2">
        <f>$E$3/B18</f>
        <v>0.00531914893617021</v>
      </c>
    </row>
    <row r="19" spans="1:13">
      <c r="A19">
        <v>64.1</v>
      </c>
      <c r="B19">
        <v>1.89</v>
      </c>
      <c r="C19">
        <f t="shared" si="0"/>
        <v>337.1</v>
      </c>
      <c r="G19" s="1">
        <f t="shared" si="1"/>
        <v>0.00296647878967665</v>
      </c>
      <c r="H19" s="2">
        <f t="shared" si="2"/>
        <v>-0.636576829071551</v>
      </c>
      <c r="I19" s="4">
        <f>$E$2/C19^2</f>
        <v>8.79999640960146e-7</v>
      </c>
      <c r="J19" s="2">
        <f>$E$3/B19</f>
        <v>0.00529100529100529</v>
      </c>
      <c r="L19" t="s">
        <v>24</v>
      </c>
      <c r="M19" t="s">
        <v>25</v>
      </c>
    </row>
    <row r="20" spans="1:18">
      <c r="A20">
        <v>66.1</v>
      </c>
      <c r="B20">
        <v>1.91</v>
      </c>
      <c r="C20">
        <f t="shared" si="0"/>
        <v>339.1</v>
      </c>
      <c r="G20" s="1">
        <f t="shared" si="1"/>
        <v>0.00294898260100265</v>
      </c>
      <c r="H20" s="2">
        <f t="shared" si="2"/>
        <v>-0.647103242058539</v>
      </c>
      <c r="I20" s="4">
        <f>$E$2/C20^2</f>
        <v>8.69649838101638e-7</v>
      </c>
      <c r="J20" s="2">
        <f>$E$3/B20</f>
        <v>0.00523560209424084</v>
      </c>
      <c r="K20" t="s">
        <v>61</v>
      </c>
      <c r="L20">
        <f t="array" ref="L20:M23">LINEST(H35:H64,G35:G64,1,1)</f>
        <v>-4215.25949232138</v>
      </c>
      <c r="M20">
        <v>10.9088180049078</v>
      </c>
      <c r="O20" t="s">
        <v>24</v>
      </c>
      <c r="P20">
        <v>4215</v>
      </c>
      <c r="Q20" t="s">
        <v>62</v>
      </c>
      <c r="R20" t="s">
        <v>63</v>
      </c>
    </row>
    <row r="21" spans="1:18">
      <c r="A21">
        <v>69.3</v>
      </c>
      <c r="B21">
        <v>1.92</v>
      </c>
      <c r="C21">
        <f t="shared" si="0"/>
        <v>342.3</v>
      </c>
      <c r="G21" s="1">
        <f t="shared" si="1"/>
        <v>0.00292141396435875</v>
      </c>
      <c r="H21" s="2">
        <f t="shared" si="2"/>
        <v>-0.65232518603969</v>
      </c>
      <c r="I21" s="4">
        <f>$E$2/C21^2</f>
        <v>8.53465955115031e-7</v>
      </c>
      <c r="J21" s="2">
        <f>$E$3/B21</f>
        <v>0.00520833333333333</v>
      </c>
      <c r="K21" t="s">
        <v>5</v>
      </c>
      <c r="L21">
        <v>40.3260738697641</v>
      </c>
      <c r="M21">
        <v>0.102721701248455</v>
      </c>
      <c r="O21" t="s">
        <v>64</v>
      </c>
      <c r="P21" s="5">
        <v>1.380649e-23</v>
      </c>
      <c r="R21">
        <v>40</v>
      </c>
    </row>
    <row r="22" spans="1:16">
      <c r="A22">
        <v>71.5</v>
      </c>
      <c r="B22">
        <v>1.91</v>
      </c>
      <c r="C22">
        <f t="shared" si="0"/>
        <v>344.5</v>
      </c>
      <c r="G22" s="1">
        <f t="shared" si="1"/>
        <v>0.00290275761973875</v>
      </c>
      <c r="H22" s="2">
        <f t="shared" si="2"/>
        <v>-0.647103242058539</v>
      </c>
      <c r="I22" s="4">
        <f>$E$2/C22^2</f>
        <v>8.42600179895138e-7</v>
      </c>
      <c r="J22" s="2">
        <f>$E$3/B22</f>
        <v>0.00523560209424084</v>
      </c>
      <c r="L22">
        <v>0.997443947420674</v>
      </c>
      <c r="M22">
        <v>0.0171823769552134</v>
      </c>
      <c r="O22" t="s">
        <v>14</v>
      </c>
      <c r="P22">
        <f>1.6*10^-19</f>
        <v>1.6e-19</v>
      </c>
    </row>
    <row r="23" spans="1:18">
      <c r="A23">
        <v>73.4</v>
      </c>
      <c r="B23">
        <v>1.91</v>
      </c>
      <c r="C23">
        <f t="shared" si="0"/>
        <v>346.4</v>
      </c>
      <c r="G23" s="1">
        <f t="shared" si="1"/>
        <v>0.00288683602771363</v>
      </c>
      <c r="H23" s="2">
        <f t="shared" si="2"/>
        <v>-0.647103242058539</v>
      </c>
      <c r="I23" s="4">
        <f>$E$2/C23^2</f>
        <v>8.33382225090539e-7</v>
      </c>
      <c r="J23" s="2">
        <f>$E$3/B23</f>
        <v>0.00523560209424084</v>
      </c>
      <c r="L23">
        <v>10926.3912462791</v>
      </c>
      <c r="M23">
        <v>28</v>
      </c>
      <c r="R23" t="s">
        <v>65</v>
      </c>
    </row>
    <row r="24" spans="1:18">
      <c r="A24">
        <v>75.6</v>
      </c>
      <c r="B24">
        <v>1.91</v>
      </c>
      <c r="C24">
        <f t="shared" si="0"/>
        <v>348.6</v>
      </c>
      <c r="G24" s="1">
        <f t="shared" si="1"/>
        <v>0.00286861732644865</v>
      </c>
      <c r="H24" s="2">
        <f t="shared" si="2"/>
        <v>-0.647103242058539</v>
      </c>
      <c r="I24" s="4">
        <f>$E$2/C24^2</f>
        <v>8.22896536560141e-7</v>
      </c>
      <c r="J24" s="2">
        <f>$E$3/B24</f>
        <v>0.00523560209424084</v>
      </c>
      <c r="O24" t="s">
        <v>66</v>
      </c>
      <c r="P24">
        <f>2*P21*P20</f>
        <v>1.163887107e-19</v>
      </c>
      <c r="Q24" t="s">
        <v>67</v>
      </c>
      <c r="R24">
        <f>2*P21*R21</f>
        <v>1.1045192e-21</v>
      </c>
    </row>
    <row r="25" spans="1:18">
      <c r="A25">
        <v>77.5</v>
      </c>
      <c r="B25">
        <v>1.89</v>
      </c>
      <c r="C25">
        <f t="shared" si="0"/>
        <v>350.5</v>
      </c>
      <c r="G25" s="1">
        <f t="shared" si="1"/>
        <v>0.00285306704707561</v>
      </c>
      <c r="H25" s="2">
        <f t="shared" si="2"/>
        <v>-0.636576829071551</v>
      </c>
      <c r="I25" s="4">
        <f>$E$2/C25^2</f>
        <v>8.13999157510872e-7</v>
      </c>
      <c r="J25" s="2">
        <f>$E$3/B25</f>
        <v>0.00529100529100529</v>
      </c>
      <c r="P25" s="2">
        <f>P24/P22</f>
        <v>0.727429441875</v>
      </c>
      <c r="Q25" t="s">
        <v>68</v>
      </c>
      <c r="R25" s="2">
        <f>R24/P22</f>
        <v>0.006903245</v>
      </c>
    </row>
    <row r="26" spans="1:18">
      <c r="A26">
        <v>80.7</v>
      </c>
      <c r="B26">
        <v>1.87</v>
      </c>
      <c r="C26">
        <f t="shared" si="0"/>
        <v>353.7</v>
      </c>
      <c r="G26" s="1">
        <f t="shared" si="1"/>
        <v>0.00282725473565168</v>
      </c>
      <c r="H26" s="2">
        <f t="shared" si="2"/>
        <v>-0.625938430866495</v>
      </c>
      <c r="I26" s="4">
        <f>$E$2/C26^2</f>
        <v>7.99336934026486e-7</v>
      </c>
      <c r="J26" s="2">
        <f>$E$3/B26</f>
        <v>0.0053475935828877</v>
      </c>
      <c r="P26" s="6"/>
      <c r="R26" s="6"/>
    </row>
    <row r="27" spans="1:10">
      <c r="A27">
        <v>82.5</v>
      </c>
      <c r="B27">
        <v>1.85</v>
      </c>
      <c r="C27">
        <f t="shared" si="0"/>
        <v>355.5</v>
      </c>
      <c r="G27" s="1">
        <f t="shared" si="1"/>
        <v>0.00281293952180028</v>
      </c>
      <c r="H27" s="2">
        <f t="shared" si="2"/>
        <v>-0.615185639090234</v>
      </c>
      <c r="I27" s="4">
        <f>$E$2/C27^2</f>
        <v>7.912628753306e-7</v>
      </c>
      <c r="J27" s="2">
        <f>$E$3/B27</f>
        <v>0.0054054054054054</v>
      </c>
    </row>
    <row r="28" spans="1:10">
      <c r="A28">
        <v>84.4</v>
      </c>
      <c r="B28">
        <v>1.82</v>
      </c>
      <c r="C28">
        <f t="shared" si="0"/>
        <v>357.4</v>
      </c>
      <c r="G28" s="1">
        <f t="shared" si="1"/>
        <v>0.00279798545047566</v>
      </c>
      <c r="H28" s="2">
        <f t="shared" si="2"/>
        <v>-0.598836501088704</v>
      </c>
      <c r="I28" s="4">
        <f>$E$2/C28^2</f>
        <v>7.82872258107347e-7</v>
      </c>
      <c r="J28" s="2">
        <f>$E$3/B28</f>
        <v>0.00549450549450549</v>
      </c>
    </row>
    <row r="29" spans="1:10">
      <c r="A29">
        <v>86.3</v>
      </c>
      <c r="B29">
        <v>1.79</v>
      </c>
      <c r="C29">
        <f t="shared" si="0"/>
        <v>359.3</v>
      </c>
      <c r="G29" s="1">
        <f t="shared" si="1"/>
        <v>0.00278318953520735</v>
      </c>
      <c r="H29" s="2">
        <f t="shared" si="2"/>
        <v>-0.582215619852664</v>
      </c>
      <c r="I29" s="4">
        <f>$E$2/C29^2</f>
        <v>7.74614398888769e-7</v>
      </c>
      <c r="J29" s="2">
        <f>$E$3/B29</f>
        <v>0.00558659217877095</v>
      </c>
    </row>
    <row r="30" spans="1:10">
      <c r="A30">
        <v>88.9</v>
      </c>
      <c r="B30">
        <v>1.74</v>
      </c>
      <c r="C30">
        <f t="shared" si="0"/>
        <v>361.9</v>
      </c>
      <c r="G30" s="1">
        <f t="shared" si="1"/>
        <v>0.00276319425255595</v>
      </c>
      <c r="H30" s="2">
        <f t="shared" si="2"/>
        <v>-0.553885113226438</v>
      </c>
      <c r="I30" s="4">
        <f>$E$2/C30^2</f>
        <v>7.63524247735826e-7</v>
      </c>
      <c r="J30" s="2">
        <f>$E$3/B30</f>
        <v>0.00574712643678161</v>
      </c>
    </row>
    <row r="31" spans="1:10">
      <c r="A31">
        <v>90.7</v>
      </c>
      <c r="B31">
        <v>1.69</v>
      </c>
      <c r="C31">
        <f t="shared" si="0"/>
        <v>363.7</v>
      </c>
      <c r="G31" s="1">
        <f t="shared" si="1"/>
        <v>0.00274951883420401</v>
      </c>
      <c r="H31" s="2">
        <f t="shared" si="2"/>
        <v>-0.524728528934982</v>
      </c>
      <c r="I31" s="4">
        <f>$E$2/C31^2</f>
        <v>7.5598538196426e-7</v>
      </c>
      <c r="J31" s="2">
        <f>$E$3/B31</f>
        <v>0.00591715976331361</v>
      </c>
    </row>
    <row r="32" spans="1:10">
      <c r="A32">
        <v>92.5</v>
      </c>
      <c r="B32">
        <v>1.65</v>
      </c>
      <c r="C32">
        <f t="shared" si="0"/>
        <v>365.5</v>
      </c>
      <c r="G32" s="1">
        <f t="shared" si="1"/>
        <v>0.0027359781121751</v>
      </c>
      <c r="H32" s="2">
        <f t="shared" si="2"/>
        <v>-0.500775287912489</v>
      </c>
      <c r="I32" s="4">
        <f>$E$2/C32^2</f>
        <v>7.48557623030124e-7</v>
      </c>
      <c r="J32" s="2">
        <f>$E$3/B32</f>
        <v>0.00606060606060606</v>
      </c>
    </row>
    <row r="33" spans="1:10">
      <c r="A33">
        <v>94.1</v>
      </c>
      <c r="B33">
        <v>1.6</v>
      </c>
      <c r="C33">
        <f t="shared" si="0"/>
        <v>367.1</v>
      </c>
      <c r="G33" s="1">
        <f t="shared" si="1"/>
        <v>0.00272405339144647</v>
      </c>
      <c r="H33" s="2">
        <f t="shared" si="2"/>
        <v>-0.470003629245736</v>
      </c>
      <c r="I33" s="4">
        <f>$E$2/C33^2</f>
        <v>7.42046687945103e-7</v>
      </c>
      <c r="J33" s="2">
        <f>$E$3/B33</f>
        <v>0.00625</v>
      </c>
    </row>
    <row r="34" spans="1:10">
      <c r="A34">
        <v>95.9</v>
      </c>
      <c r="B34">
        <v>1.56</v>
      </c>
      <c r="C34">
        <f t="shared" si="0"/>
        <v>368.9</v>
      </c>
      <c r="G34" s="1">
        <f t="shared" si="1"/>
        <v>0.00271076172404446</v>
      </c>
      <c r="H34" s="2">
        <f t="shared" si="2"/>
        <v>-0.444685821261446</v>
      </c>
      <c r="I34" s="4">
        <f>$E$2/C34^2</f>
        <v>7.34822912454448e-7</v>
      </c>
      <c r="J34" s="2">
        <f>$E$3/B34</f>
        <v>0.00641025641025641</v>
      </c>
    </row>
    <row r="35" spans="1:10">
      <c r="A35">
        <v>98.6</v>
      </c>
      <c r="B35">
        <v>1.48</v>
      </c>
      <c r="C35">
        <f t="shared" si="0"/>
        <v>371.6</v>
      </c>
      <c r="G35" s="1">
        <f t="shared" si="1"/>
        <v>0.00269106566200215</v>
      </c>
      <c r="H35" s="3">
        <f t="shared" si="2"/>
        <v>-0.392042087776024</v>
      </c>
      <c r="I35" s="4">
        <f>$E$2/C35^2</f>
        <v>7.24183439720708e-7</v>
      </c>
      <c r="J35" s="2">
        <f>$E$3/B35</f>
        <v>0.00675675675675676</v>
      </c>
    </row>
    <row r="36" spans="1:10">
      <c r="A36">
        <v>100.1</v>
      </c>
      <c r="B36">
        <v>1.43</v>
      </c>
      <c r="C36">
        <f t="shared" si="0"/>
        <v>373.1</v>
      </c>
      <c r="G36" s="1">
        <f t="shared" si="1"/>
        <v>0.00268024658268561</v>
      </c>
      <c r="H36" s="3">
        <f t="shared" si="2"/>
        <v>-0.357674444271816</v>
      </c>
      <c r="I36" s="4">
        <f>$E$2/C36^2</f>
        <v>7.18372174399787e-7</v>
      </c>
      <c r="J36" s="2">
        <f>$E$3/B36</f>
        <v>0.00699300699300699</v>
      </c>
    </row>
    <row r="37" spans="1:10">
      <c r="A37">
        <v>101.6</v>
      </c>
      <c r="B37">
        <v>1.38</v>
      </c>
      <c r="C37">
        <f t="shared" si="0"/>
        <v>374.6</v>
      </c>
      <c r="G37" s="1">
        <f t="shared" si="1"/>
        <v>0.00266951414842499</v>
      </c>
      <c r="H37" s="3">
        <f t="shared" si="2"/>
        <v>-0.322083499169113</v>
      </c>
      <c r="I37" s="4">
        <f>$E$2/C37^2</f>
        <v>7.12630578864118e-7</v>
      </c>
      <c r="J37" s="2">
        <f>$E$3/B37</f>
        <v>0.0072463768115942</v>
      </c>
    </row>
    <row r="38" spans="1:10">
      <c r="A38">
        <v>103.2</v>
      </c>
      <c r="B38">
        <v>1.33</v>
      </c>
      <c r="C38">
        <f t="shared" si="0"/>
        <v>376.2</v>
      </c>
      <c r="G38" s="1">
        <f t="shared" si="1"/>
        <v>0.0026581605528974</v>
      </c>
      <c r="H38" s="3">
        <f t="shared" si="2"/>
        <v>-0.285178942233662</v>
      </c>
      <c r="I38" s="4">
        <f>$E$2/C38^2</f>
        <v>7.06581752497979e-7</v>
      </c>
      <c r="J38" s="2">
        <f>$E$3/B38</f>
        <v>0.0075187969924812</v>
      </c>
    </row>
    <row r="39" spans="1:10">
      <c r="A39">
        <v>105.4</v>
      </c>
      <c r="B39">
        <v>1.26</v>
      </c>
      <c r="C39">
        <f t="shared" si="0"/>
        <v>378.4</v>
      </c>
      <c r="G39" s="1">
        <f t="shared" si="1"/>
        <v>0.00264270613107822</v>
      </c>
      <c r="H39" s="3">
        <f t="shared" si="2"/>
        <v>-0.231111720963387</v>
      </c>
      <c r="I39" s="4">
        <f>$E$2/C39^2</f>
        <v>6.98389569523844e-7</v>
      </c>
      <c r="J39" s="2">
        <f>$E$3/B39</f>
        <v>0.00793650793650794</v>
      </c>
    </row>
    <row r="40" spans="1:10">
      <c r="A40">
        <v>106.9</v>
      </c>
      <c r="B40">
        <v>1.21</v>
      </c>
      <c r="C40">
        <f t="shared" si="0"/>
        <v>379.9</v>
      </c>
      <c r="G40" s="1">
        <f t="shared" si="1"/>
        <v>0.00263227165043433</v>
      </c>
      <c r="H40" s="3">
        <f t="shared" si="2"/>
        <v>-0.19062035960865</v>
      </c>
      <c r="I40" s="4">
        <f>$E$2/C40^2</f>
        <v>6.92885404168025e-7</v>
      </c>
      <c r="J40" s="2">
        <f>$E$3/B40</f>
        <v>0.00826446280991736</v>
      </c>
    </row>
    <row r="41" spans="1:10">
      <c r="A41">
        <v>108.6</v>
      </c>
      <c r="B41">
        <v>1.17</v>
      </c>
      <c r="C41">
        <f t="shared" si="0"/>
        <v>381.6</v>
      </c>
      <c r="G41" s="1">
        <f t="shared" si="1"/>
        <v>0.00262054507337526</v>
      </c>
      <c r="H41" s="3">
        <f t="shared" si="2"/>
        <v>-0.157003748809665</v>
      </c>
      <c r="I41" s="4">
        <f>$E$2/C41^2</f>
        <v>6.86725648159136e-7</v>
      </c>
      <c r="J41" s="2">
        <f>$E$3/B41</f>
        <v>0.00854700854700855</v>
      </c>
    </row>
    <row r="42" spans="1:10">
      <c r="A42">
        <v>110</v>
      </c>
      <c r="B42">
        <v>1.12</v>
      </c>
      <c r="C42">
        <f t="shared" si="0"/>
        <v>383</v>
      </c>
      <c r="G42" s="1">
        <f t="shared" si="1"/>
        <v>0.00261096605744125</v>
      </c>
      <c r="H42" s="3">
        <f t="shared" si="2"/>
        <v>-0.113328685307003</v>
      </c>
      <c r="I42" s="4">
        <f>$E$2/C42^2</f>
        <v>6.81714375311032e-7</v>
      </c>
      <c r="J42" s="2">
        <f>$E$3/B42</f>
        <v>0.00892857142857143</v>
      </c>
    </row>
    <row r="43" spans="1:10">
      <c r="A43">
        <v>111.4</v>
      </c>
      <c r="B43">
        <v>1.08</v>
      </c>
      <c r="C43">
        <f t="shared" si="0"/>
        <v>384.4</v>
      </c>
      <c r="G43" s="1">
        <f t="shared" si="1"/>
        <v>0.00260145681581686</v>
      </c>
      <c r="H43" s="3">
        <f t="shared" si="2"/>
        <v>-0.0769610411361284</v>
      </c>
      <c r="I43" s="4">
        <f>$E$2/C43^2</f>
        <v>6.76757756455998e-7</v>
      </c>
      <c r="J43" s="2">
        <f>$E$3/B43</f>
        <v>0.00925925925925926</v>
      </c>
    </row>
    <row r="44" spans="1:10">
      <c r="A44">
        <v>113.4</v>
      </c>
      <c r="B44">
        <v>1.02</v>
      </c>
      <c r="C44">
        <f t="shared" si="0"/>
        <v>386.4</v>
      </c>
      <c r="G44" s="1">
        <f t="shared" si="1"/>
        <v>0.0025879917184265</v>
      </c>
      <c r="H44" s="3">
        <f t="shared" si="2"/>
        <v>-0.0198026272961798</v>
      </c>
      <c r="I44" s="4">
        <f>$E$2/C44^2</f>
        <v>6.69770113464415e-7</v>
      </c>
      <c r="J44" s="2">
        <f>$E$3/B44</f>
        <v>0.00980392156862745</v>
      </c>
    </row>
    <row r="45" spans="1:10">
      <c r="A45">
        <v>114.8</v>
      </c>
      <c r="B45">
        <v>0.98</v>
      </c>
      <c r="C45">
        <f t="shared" si="0"/>
        <v>387.8</v>
      </c>
      <c r="G45" s="1">
        <f t="shared" si="1"/>
        <v>0.00257864878803507</v>
      </c>
      <c r="H45" s="3">
        <f t="shared" si="2"/>
        <v>0.0202027073175195</v>
      </c>
      <c r="I45" s="4">
        <f>$E$2/C45^2</f>
        <v>6.64942957203473e-7</v>
      </c>
      <c r="J45" s="2">
        <f>$E$3/B45</f>
        <v>0.0102040816326531</v>
      </c>
    </row>
    <row r="46" spans="1:10">
      <c r="A46">
        <v>116.2</v>
      </c>
      <c r="B46">
        <v>0.94</v>
      </c>
      <c r="C46">
        <f t="shared" si="0"/>
        <v>389.2</v>
      </c>
      <c r="G46" s="1">
        <f t="shared" si="1"/>
        <v>0.0025693730729702</v>
      </c>
      <c r="H46" s="3">
        <f t="shared" si="2"/>
        <v>0.0618754037180875</v>
      </c>
      <c r="I46" s="4">
        <f>$E$2/C46^2</f>
        <v>6.60167798810431e-7</v>
      </c>
      <c r="J46" s="2">
        <f>$E$3/B46</f>
        <v>0.0106382978723404</v>
      </c>
    </row>
    <row r="47" spans="1:10">
      <c r="A47">
        <v>117.4</v>
      </c>
      <c r="B47">
        <v>0.91</v>
      </c>
      <c r="C47">
        <f t="shared" si="0"/>
        <v>390.4</v>
      </c>
      <c r="G47" s="1">
        <f t="shared" si="1"/>
        <v>0.00256147540983607</v>
      </c>
      <c r="H47" s="3">
        <f t="shared" si="2"/>
        <v>0.0943106794712412</v>
      </c>
      <c r="I47" s="4">
        <f>$E$2/C47^2</f>
        <v>6.56115627519484e-7</v>
      </c>
      <c r="J47" s="2">
        <f>$E$3/B47</f>
        <v>0.010989010989011</v>
      </c>
    </row>
    <row r="48" spans="1:10">
      <c r="A48">
        <v>119.4</v>
      </c>
      <c r="B48">
        <v>0.86</v>
      </c>
      <c r="C48">
        <f t="shared" si="0"/>
        <v>392.4</v>
      </c>
      <c r="G48" s="1">
        <f t="shared" si="1"/>
        <v>0.00254841997961264</v>
      </c>
      <c r="H48" s="3">
        <f t="shared" si="2"/>
        <v>0.150822889734584</v>
      </c>
      <c r="I48" s="4">
        <f>$E$2/C48^2</f>
        <v>6.49444439248889e-7</v>
      </c>
      <c r="J48" s="2">
        <f>$E$3/B48</f>
        <v>0.0116279069767442</v>
      </c>
    </row>
    <row r="49" spans="1:10">
      <c r="A49">
        <v>120.5</v>
      </c>
      <c r="B49">
        <v>0.83</v>
      </c>
      <c r="C49">
        <f t="shared" si="0"/>
        <v>393.5</v>
      </c>
      <c r="G49" s="1">
        <f t="shared" si="1"/>
        <v>0.00254129606099111</v>
      </c>
      <c r="H49" s="3">
        <f t="shared" si="2"/>
        <v>0.186329578191494</v>
      </c>
      <c r="I49" s="4">
        <f>$E$2/C49^2</f>
        <v>6.45818566960891e-7</v>
      </c>
      <c r="J49" s="2">
        <f>$E$3/B49</f>
        <v>0.0120481927710843</v>
      </c>
    </row>
    <row r="50" spans="1:10">
      <c r="A50">
        <v>121.7</v>
      </c>
      <c r="B50">
        <v>0.81</v>
      </c>
      <c r="C50">
        <f t="shared" si="0"/>
        <v>394.7</v>
      </c>
      <c r="G50" s="1">
        <f t="shared" si="1"/>
        <v>0.00253356979984799</v>
      </c>
      <c r="H50" s="3">
        <f t="shared" si="2"/>
        <v>0.210721031315653</v>
      </c>
      <c r="I50" s="4">
        <f>$E$2/C50^2</f>
        <v>6.41897593070176e-7</v>
      </c>
      <c r="J50" s="2">
        <f>$E$3/B50</f>
        <v>0.0123456790123457</v>
      </c>
    </row>
    <row r="51" spans="1:10">
      <c r="A51">
        <v>123</v>
      </c>
      <c r="B51">
        <v>0.78</v>
      </c>
      <c r="C51">
        <f t="shared" si="0"/>
        <v>396</v>
      </c>
      <c r="G51" s="1">
        <f t="shared" si="1"/>
        <v>0.00252525252525253</v>
      </c>
      <c r="H51" s="3">
        <f t="shared" si="2"/>
        <v>0.2484613592985</v>
      </c>
      <c r="I51" s="4">
        <f>$E$2/C51^2</f>
        <v>6.37690031629426e-7</v>
      </c>
      <c r="J51" s="2">
        <f>$E$3/B51</f>
        <v>0.0128205128205128</v>
      </c>
    </row>
    <row r="52" spans="1:10">
      <c r="A52">
        <v>124.8</v>
      </c>
      <c r="B52">
        <v>0.74</v>
      </c>
      <c r="C52">
        <f t="shared" si="0"/>
        <v>397.8</v>
      </c>
      <c r="G52" s="1">
        <f t="shared" si="1"/>
        <v>0.00251382604323781</v>
      </c>
      <c r="H52" s="3">
        <f t="shared" si="2"/>
        <v>0.301105092783922</v>
      </c>
      <c r="I52" s="4">
        <f>$E$2/C52^2</f>
        <v>6.31932137566065e-7</v>
      </c>
      <c r="J52" s="2">
        <f>$E$3/B52</f>
        <v>0.0135135135135135</v>
      </c>
    </row>
    <row r="53" spans="1:10">
      <c r="A53">
        <v>125.9</v>
      </c>
      <c r="B53">
        <v>0.71</v>
      </c>
      <c r="C53">
        <f t="shared" si="0"/>
        <v>398.9</v>
      </c>
      <c r="G53" s="1">
        <f t="shared" si="1"/>
        <v>0.00250689395838556</v>
      </c>
      <c r="H53" s="3">
        <f t="shared" si="2"/>
        <v>0.342490308946776</v>
      </c>
      <c r="I53" s="4">
        <f>$E$2/C53^2</f>
        <v>6.28451731859002e-7</v>
      </c>
      <c r="J53" s="2">
        <f>$E$3/B53</f>
        <v>0.0140845070422535</v>
      </c>
    </row>
    <row r="54" spans="1:10">
      <c r="A54">
        <v>127</v>
      </c>
      <c r="B54">
        <v>0.69</v>
      </c>
      <c r="C54">
        <f t="shared" si="0"/>
        <v>400</v>
      </c>
      <c r="G54" s="1">
        <f t="shared" si="1"/>
        <v>0.0025</v>
      </c>
      <c r="H54" s="3">
        <f t="shared" si="2"/>
        <v>0.371063681390832</v>
      </c>
      <c r="I54" s="4">
        <f>$E$2/C54^2</f>
        <v>6.25e-7</v>
      </c>
      <c r="J54" s="2">
        <f>$E$3/B54</f>
        <v>0.0144927536231884</v>
      </c>
    </row>
    <row r="55" spans="1:10">
      <c r="A55">
        <v>128.1</v>
      </c>
      <c r="B55">
        <v>0.67</v>
      </c>
      <c r="C55">
        <f t="shared" si="0"/>
        <v>401.1</v>
      </c>
      <c r="G55" s="1">
        <f t="shared" si="1"/>
        <v>0.0024931438544004</v>
      </c>
      <c r="H55" s="3">
        <f t="shared" si="2"/>
        <v>0.400477566597125</v>
      </c>
      <c r="I55" s="4">
        <f>$E$2/C55^2</f>
        <v>6.21576627873448e-7</v>
      </c>
      <c r="J55" s="2">
        <f>$E$3/B55</f>
        <v>0.0149253731343284</v>
      </c>
    </row>
    <row r="56" spans="1:10">
      <c r="A56">
        <v>129.7</v>
      </c>
      <c r="B56">
        <v>0.64</v>
      </c>
      <c r="C56">
        <f t="shared" si="0"/>
        <v>402.7</v>
      </c>
      <c r="G56" s="1">
        <f t="shared" si="1"/>
        <v>0.00248323814253787</v>
      </c>
      <c r="H56" s="3">
        <f t="shared" si="2"/>
        <v>0.44628710262842</v>
      </c>
      <c r="I56" s="4">
        <f>$E$2/C56^2</f>
        <v>6.16647167255493e-7</v>
      </c>
      <c r="J56" s="2">
        <f>$E$3/B56</f>
        <v>0.015625</v>
      </c>
    </row>
    <row r="57" spans="1:10">
      <c r="A57">
        <v>130.8</v>
      </c>
      <c r="B57">
        <v>0.62</v>
      </c>
      <c r="C57">
        <f t="shared" si="0"/>
        <v>403.8</v>
      </c>
      <c r="G57" s="1">
        <f t="shared" si="1"/>
        <v>0.00247647350173353</v>
      </c>
      <c r="H57" s="3">
        <f t="shared" si="2"/>
        <v>0.478035800943</v>
      </c>
      <c r="I57" s="4">
        <f>$E$2/C57^2</f>
        <v>6.13292100478834e-7</v>
      </c>
      <c r="J57" s="2">
        <f>$E$3/B57</f>
        <v>0.0161290322580645</v>
      </c>
    </row>
    <row r="58" spans="1:10">
      <c r="A58">
        <v>131.9</v>
      </c>
      <c r="B58">
        <v>0.61</v>
      </c>
      <c r="C58">
        <f t="shared" si="0"/>
        <v>404.9</v>
      </c>
      <c r="G58" s="1">
        <f t="shared" si="1"/>
        <v>0.00246974561620153</v>
      </c>
      <c r="H58" s="3">
        <f t="shared" si="2"/>
        <v>0.49429632181478</v>
      </c>
      <c r="I58" s="4">
        <f>$E$2/C58^2</f>
        <v>6.09964340874668e-7</v>
      </c>
      <c r="J58" s="2">
        <f>$E$3/B58</f>
        <v>0.0163934426229508</v>
      </c>
    </row>
    <row r="59" spans="1:10">
      <c r="A59">
        <v>132.7</v>
      </c>
      <c r="B59">
        <v>0.59</v>
      </c>
      <c r="C59">
        <f t="shared" si="0"/>
        <v>405.7</v>
      </c>
      <c r="G59" s="1">
        <f t="shared" si="1"/>
        <v>0.00246487552378605</v>
      </c>
      <c r="H59" s="3">
        <f t="shared" si="2"/>
        <v>0.527632742082372</v>
      </c>
      <c r="I59" s="4">
        <f>$E$2/C59^2</f>
        <v>6.07561134775955e-7</v>
      </c>
      <c r="J59" s="2">
        <f>$E$3/B59</f>
        <v>0.0169491525423729</v>
      </c>
    </row>
    <row r="60" spans="1:10">
      <c r="A60">
        <v>133.8</v>
      </c>
      <c r="B60">
        <v>0.57</v>
      </c>
      <c r="C60">
        <f t="shared" si="0"/>
        <v>406.8</v>
      </c>
      <c r="G60" s="1">
        <f t="shared" si="1"/>
        <v>0.00245821042281219</v>
      </c>
      <c r="H60" s="3">
        <f t="shared" si="2"/>
        <v>0.562118918153541</v>
      </c>
      <c r="I60" s="4">
        <f>$E$2/C60^2</f>
        <v>6.0427984828225e-7</v>
      </c>
      <c r="J60" s="2">
        <f>$E$3/B60</f>
        <v>0.0175438596491228</v>
      </c>
    </row>
    <row r="61" spans="1:10">
      <c r="A61">
        <v>135.2</v>
      </c>
      <c r="B61">
        <v>0.55</v>
      </c>
      <c r="C61">
        <f t="shared" si="0"/>
        <v>408.2</v>
      </c>
      <c r="G61" s="1">
        <f t="shared" si="1"/>
        <v>0.00244977951984321</v>
      </c>
      <c r="H61" s="3">
        <f t="shared" si="2"/>
        <v>0.59783700075562</v>
      </c>
      <c r="I61" s="4">
        <f>$E$2/C61^2</f>
        <v>6.00141969584325e-7</v>
      </c>
      <c r="J61" s="2">
        <f>$E$3/B61</f>
        <v>0.0181818181818182</v>
      </c>
    </row>
    <row r="62" spans="1:10">
      <c r="A62">
        <v>136.2</v>
      </c>
      <c r="B62">
        <v>0.54</v>
      </c>
      <c r="C62">
        <f t="shared" si="0"/>
        <v>409.2</v>
      </c>
      <c r="G62" s="1">
        <f t="shared" si="1"/>
        <v>0.00244379276637341</v>
      </c>
      <c r="H62" s="3">
        <f t="shared" si="2"/>
        <v>0.616186139423817</v>
      </c>
      <c r="I62" s="4">
        <f>$E$2/C62^2</f>
        <v>5.97212308497901e-7</v>
      </c>
      <c r="J62" s="2">
        <f>$E$3/B62</f>
        <v>0.0185185185185185</v>
      </c>
    </row>
    <row r="63" spans="1:10">
      <c r="A63">
        <v>137.2</v>
      </c>
      <c r="B63">
        <v>0.52</v>
      </c>
      <c r="C63">
        <f t="shared" si="0"/>
        <v>410.2</v>
      </c>
      <c r="G63" s="1">
        <f t="shared" si="1"/>
        <v>0.00243783520234032</v>
      </c>
      <c r="H63" s="3">
        <f t="shared" si="2"/>
        <v>0.653926467406664</v>
      </c>
      <c r="I63" s="4">
        <f>$E$2/C63^2</f>
        <v>5.94304047376968e-7</v>
      </c>
      <c r="J63" s="2">
        <f>$E$3/B63</f>
        <v>0.0192307692307692</v>
      </c>
    </row>
    <row r="64" spans="1:10">
      <c r="A64">
        <v>138.2</v>
      </c>
      <c r="B64">
        <v>0.51</v>
      </c>
      <c r="C64">
        <f t="shared" si="0"/>
        <v>411.2</v>
      </c>
      <c r="G64" s="1">
        <f t="shared" si="1"/>
        <v>0.00243190661478599</v>
      </c>
      <c r="H64" s="3">
        <f t="shared" si="2"/>
        <v>0.673344553263766</v>
      </c>
      <c r="I64" s="4">
        <f>$E$2/C64^2</f>
        <v>5.91416978303986e-7</v>
      </c>
      <c r="J64" s="2">
        <f>$E$3/B64</f>
        <v>0.0196078431372549</v>
      </c>
    </row>
  </sheetData>
  <pageMargins left="0.75" right="0.75" top="1" bottom="1" header="0.511811023622047" footer="0.511811023622047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Exp1</vt:lpstr>
      <vt:lpstr>Exp2</vt:lpstr>
      <vt:lpstr>Exp3 (2)</vt:lpstr>
      <vt:lpstr>Exp3</vt:lpstr>
      <vt:lpstr>Exp4</vt:lpstr>
      <vt:lpstr>Exp5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inmac</cp:lastModifiedBy>
  <cp:revision>2</cp:revision>
  <dcterms:created xsi:type="dcterms:W3CDTF">2024-03-09T09:45:00Z</dcterms:created>
  <dcterms:modified xsi:type="dcterms:W3CDTF">2024-03-10T20:14:19Z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852D3C4085B94A24A191602B963FF990_13</vt:lpwstr>
  </property>
  <property fmtid="{D5CDD505-2E9C-101B-9397-08002B2CF9AE}" pid="3" name="KSOProductBuildVer">
    <vt:lpwstr>3082-12.2.0.13489</vt:lpwstr>
  </property>
</Properties>
</file>