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tensidad-distancia" sheetId="1" state="visible" r:id="rId2"/>
    <sheet name="Curvas características" sheetId="2" state="visible" r:id="rId3"/>
    <sheet name="Curvas VI juntas" sheetId="3" state="visible" r:id="rId4"/>
    <sheet name="Parámetros" sheetId="4" state="visible" r:id="rId5"/>
    <sheet name="Cristal y T" sheetId="5" state="visible" r:id="rId6"/>
    <sheet name="Sol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<sst xmlns="http://schemas.openxmlformats.org/spreadsheetml/2006/main" count="177" uniqueCount="86">
  <si>
    <t xml:space="preserve">Error V</t>
  </si>
  <si>
    <t xml:space="preserve">D(cm)</t>
  </si>
  <si>
    <t xml:space="preserve">V</t>
  </si>
  <si>
    <t xml:space="preserve">V_real</t>
  </si>
  <si>
    <t xml:space="preserve">Intensidad (W/m²)</t>
  </si>
  <si>
    <t xml:space="preserve">log(d)</t>
  </si>
  <si>
    <t xml:space="preserve">log(J)</t>
  </si>
  <si>
    <t xml:space="preserve">a</t>
  </si>
  <si>
    <t xml:space="preserve">valor ideal -2</t>
  </si>
  <si>
    <t xml:space="preserve">D</t>
  </si>
  <si>
    <t xml:space="preserve">J</t>
  </si>
  <si>
    <t xml:space="preserve">Error J</t>
  </si>
  <si>
    <t xml:space="preserve">b</t>
  </si>
  <si>
    <t xml:space="preserve">Sensibilidad</t>
  </si>
  <si>
    <t xml:space="preserve">es una recta porque log-log representa bien una ley en potencias (J-m^2)</t>
  </si>
  <si>
    <t xml:space="preserve">extrapolado en recta</t>
  </si>
  <si>
    <t xml:space="preserve">error de medición original porque es superior que el de la regresión lineal</t>
  </si>
  <si>
    <t xml:space="preserve">Error intensidad</t>
  </si>
  <si>
    <t xml:space="preserve">valores</t>
  </si>
  <si>
    <t xml:space="preserve">error</t>
  </si>
  <si>
    <t xml:space="preserve">Error distancia</t>
  </si>
  <si>
    <t xml:space="preserve">Error D</t>
  </si>
  <si>
    <t xml:space="preserve">J  (W/m²)</t>
  </si>
  <si>
    <t xml:space="preserve">ISC</t>
  </si>
  <si>
    <t xml:space="preserve">Error ISC</t>
  </si>
  <si>
    <t xml:space="preserve">VOC</t>
  </si>
  <si>
    <t xml:space="preserve">Pmax (mW)</t>
  </si>
  <si>
    <t xml:space="preserve">Error P</t>
  </si>
  <si>
    <t xml:space="preserve">Ri (ohm)</t>
  </si>
  <si>
    <t xml:space="preserve">Error Ri</t>
  </si>
  <si>
    <t xml:space="preserve">FF</t>
  </si>
  <si>
    <t xml:space="preserve">Error FF</t>
  </si>
  <si>
    <t xml:space="preserve">PL (W)</t>
  </si>
  <si>
    <t xml:space="preserve">error PL</t>
  </si>
  <si>
    <t xml:space="preserve">Nu</t>
  </si>
  <si>
    <t xml:space="preserve">Error nu</t>
  </si>
  <si>
    <t xml:space="preserve">%nu</t>
  </si>
  <si>
    <t xml:space="preserve">%error nu</t>
  </si>
  <si>
    <t xml:space="preserve">distancia 70</t>
  </si>
  <si>
    <t xml:space="preserve">mA</t>
  </si>
  <si>
    <t xml:space="preserve">sobre medida amplificada en factor de 100</t>
  </si>
  <si>
    <t xml:space="preserve">V real</t>
  </si>
  <si>
    <t xml:space="preserve">V (mV)</t>
  </si>
  <si>
    <t xml:space="preserve">Error I</t>
  </si>
  <si>
    <t xml:space="preserve">P(mW)</t>
  </si>
  <si>
    <t xml:space="preserve">R(ohms)</t>
  </si>
  <si>
    <t xml:space="preserve">R (microohms)</t>
  </si>
  <si>
    <t xml:space="preserve">cm</t>
  </si>
  <si>
    <t xml:space="preserve">V (V)</t>
  </si>
  <si>
    <t xml:space="preserve">P</t>
  </si>
  <si>
    <t xml:space="preserve">150cm</t>
  </si>
  <si>
    <t xml:space="preserve">d=70</t>
  </si>
  <si>
    <t xml:space="preserve">d=110</t>
  </si>
  <si>
    <t xml:space="preserve">d=150</t>
  </si>
  <si>
    <t xml:space="preserve">I (mA)</t>
  </si>
  <si>
    <t xml:space="preserve">Distancia (cm)</t>
  </si>
  <si>
    <t xml:space="preserve">J (W/m2)</t>
  </si>
  <si>
    <t xml:space="preserve">V_oc (V)</t>
  </si>
  <si>
    <t xml:space="preserve">I_sc (mA)</t>
  </si>
  <si>
    <t xml:space="preserve">mA/Wm-2</t>
  </si>
  <si>
    <t xml:space="preserve">A/Wm-2</t>
  </si>
  <si>
    <t xml:space="preserve">error J</t>
  </si>
  <si>
    <t xml:space="preserve">Medidas originales</t>
  </si>
  <si>
    <t xml:space="preserve">d=110 cm</t>
  </si>
  <si>
    <t xml:space="preserve">NORMAL</t>
  </si>
  <si>
    <t xml:space="preserve">T=23</t>
  </si>
  <si>
    <t xml:space="preserve">Cristal</t>
  </si>
  <si>
    <t xml:space="preserve">T=73</t>
  </si>
  <si>
    <t xml:space="preserve">diferencias en ISC porque llega menos J y J es proporcional a I</t>
  </si>
  <si>
    <t xml:space="preserve">diferencia en VOC porque con T disminuye la eficiencia de la celda y el fabricante avisa de que baja VOC con T</t>
  </si>
  <si>
    <t xml:space="preserve">se afecta más la P max (y por tanto la eficiencia) porque cambio en I mayor magnitud</t>
  </si>
  <si>
    <t xml:space="preserve">se afecta menos la P max (y por tanto la eficiencia) porque cambio en V no tan grande</t>
  </si>
  <si>
    <t xml:space="preserve">se esperaría una reducción de J según (dif(ISC)=9,6 mA, de dif(J)=74,7W/m2)</t>
  </si>
  <si>
    <t xml:space="preserve">suponiendo que hay una celda, la perdida de VOC es mucho mayor que la esperada</t>
  </si>
  <si>
    <t xml:space="preserve">Diferencia (K)</t>
  </si>
  <si>
    <t xml:space="preserve">error T 1 K</t>
  </si>
  <si>
    <t xml:space="preserve">Diferencia VOC</t>
  </si>
  <si>
    <t xml:space="preserve">si 4 celdas</t>
  </si>
  <si>
    <t xml:space="preserve">Diferencia medida</t>
  </si>
  <si>
    <t xml:space="preserve">1 mV/K</t>
  </si>
  <si>
    <t xml:space="preserve">vidrio</t>
  </si>
  <si>
    <t xml:space="preserve">T</t>
  </si>
  <si>
    <t xml:space="preserve">Valor de la termopila: 25,9 mV (sin amplificar)</t>
  </si>
  <si>
    <t xml:space="preserve">en torno a 1000, que es valor esperado en media</t>
  </si>
  <si>
    <t xml:space="preserve">V/V(Sun)  I/mA(Sun)</t>
  </si>
  <si>
    <t xml:space="preserve">mejor porque contribuyen fotones más energéticos (uV)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</si>
</sst>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"/>
    <numFmt numFmtId="166" formatCode="0.0_ "/>
    <numFmt numFmtId="167" formatCode="0.00_ "/>
    <numFmt numFmtId="168" formatCode="0.000_ "/>
    <numFmt numFmtId="169" formatCode="#,##0_);[RED]\(#,##0\)"/>
    <numFmt numFmtId="170" formatCode="0.0000_ "/>
    <numFmt numFmtId="171" formatCode="0_ "/>
    <numFmt numFmtId="172" formatCode="0"/>
  </numFmts>
  <fonts count="2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595959"/>
      <name val="Calibri"/>
      <family val="2"/>
    </font>
    <font>
      <b val="true"/>
      <sz val="10"/>
      <color rgb="FF595959"/>
      <name val="Calibri"/>
      <family val="2"/>
    </font>
    <font>
      <sz val="10"/>
      <name val="Arial"/>
      <family val="2"/>
    </font>
    <font>
      <sz val="11"/>
      <color rgb="FFD9D9D9"/>
      <name val="Calibri"/>
      <family val="0"/>
      <charset val="1"/>
    </font>
    <font>
      <b val="true"/>
      <sz val="14"/>
      <color rgb="FF000000"/>
      <name val="Calibri"/>
      <family val="2"/>
    </font>
    <font>
      <b val="true"/>
      <sz val="10"/>
      <color rgb="FF000000"/>
      <name val="Calibri"/>
      <family val="2"/>
    </font>
    <font>
      <sz val="11"/>
      <color rgb="FFFF0000"/>
      <name val="Calibri"/>
      <family val="0"/>
    </font>
    <font>
      <sz val="9"/>
      <color rgb="FFFF0000"/>
      <name val="Calibri"/>
      <family val="0"/>
    </font>
    <font>
      <sz val="11"/>
      <color rgb="FFFF0000"/>
      <name val="Cambria Math"/>
      <family val="0"/>
    </font>
    <font>
      <sz val="11"/>
      <color rgb="FF00B050"/>
      <name val="Calibri"/>
      <family val="0"/>
    </font>
    <font>
      <sz val="7"/>
      <color rgb="FF00B050"/>
      <name val="Calibri"/>
      <family val="0"/>
    </font>
    <font>
      <sz val="11"/>
      <color rgb="FF00B050"/>
      <name val="Cambria Math"/>
      <family val="0"/>
    </font>
    <font>
      <b val="true"/>
      <sz val="11"/>
      <color rgb="FF4472C4"/>
      <name val="Calibri"/>
      <family val="0"/>
    </font>
    <font>
      <b val="true"/>
      <sz val="11"/>
      <color rgb="FF002060"/>
      <name val="Calibri"/>
      <family val="0"/>
    </font>
    <font>
      <b val="true"/>
      <sz val="11"/>
      <color rgb="FF7030A0"/>
      <name val="Calibri"/>
      <family val="0"/>
    </font>
    <font>
      <b val="true"/>
      <sz val="12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7030A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2060"/>
      <rgbColor rgb="FF00B050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cap="rnd" w="12600">
              <a:solidFill>
                <a:srgbClr val="5b9bd5"/>
              </a:solidFill>
              <a:prstDash val="sysDot"/>
              <a:round/>
            </a:ln>
          </c:spPr>
          <c:marker>
            <c:symbol val="circle"/>
            <c:size val="3"/>
            <c:spPr>
              <a:solidFill>
                <a:srgbClr val="5b9bd5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'Intensidad-distancia'!$A$8</c:f>
                <c:numCache>
                  <c:formatCode>General</c:formatCode>
                  <c:ptCount val="1"/>
                  <c:pt idx="0">
                    <c:v>0.440722785368004</c:v>
                  </c:pt>
                </c:numCache>
              </c:numRef>
            </c:plus>
            <c:minus>
              <c:numRef>
                <c:f>'Intensidad-distancia'!$A$8</c:f>
                <c:numCache>
                  <c:formatCode>General</c:formatCode>
                  <c:ptCount val="1"/>
                  <c:pt idx="0">
                    <c:v>0.440722785368004</c:v>
                  </c:pt>
                </c:numCache>
              </c:numRef>
            </c:minus>
            <c:spPr>
              <a:ln w="9360">
                <a:solidFill>
                  <a:srgbClr val="595959"/>
                </a:solidFill>
                <a:round/>
              </a:ln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'Intensidad-distancia'!$A$11</c:f>
                <c:numCache>
                  <c:formatCode>General</c:formatCode>
                  <c:ptCount val="1"/>
                  <c:pt idx="0">
                    <c:v>0.001</c:v>
                  </c:pt>
                </c:numCache>
              </c:numRef>
            </c:plus>
            <c:minus>
              <c:numRef>
                <c:f>'Intensidad-distancia'!$A$11</c:f>
                <c:numCache>
                  <c:formatCode>General</c:formatCode>
                  <c:ptCount val="1"/>
                  <c:pt idx="0">
                    <c:v>0.001</c:v>
                  </c:pt>
                </c:numCache>
              </c:numRef>
            </c:minus>
            <c:spPr>
              <a:ln w="9360">
                <a:solidFill>
                  <a:srgbClr val="595959"/>
                </a:solidFill>
                <a:round/>
              </a:ln>
            </c:spPr>
          </c:errBars>
          <c:xVal>
            <c:numRef>
              <c:f>'Intensidad-distancia'!$C$2:$C$11</c:f>
              <c:numCache>
                <c:formatCode>General</c:formatCode>
                <c:ptCount val="10"/>
                <c:pt idx="0">
                  <c:v>63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130</c:v>
                </c:pt>
                <c:pt idx="8">
                  <c:v>140</c:v>
                </c:pt>
                <c:pt idx="9">
                  <c:v>145</c:v>
                </c:pt>
              </c:numCache>
            </c:numRef>
          </c:xVal>
          <c:yVal>
            <c:numRef>
              <c:f>'Intensidad-distancia'!$F$2:$F$11</c:f>
              <c:numCache>
                <c:formatCode>General</c:formatCode>
                <c:ptCount val="10"/>
                <c:pt idx="0">
                  <c:v>613.486117232261</c:v>
                </c:pt>
                <c:pt idx="1">
                  <c:v>478.184222124284</c:v>
                </c:pt>
                <c:pt idx="2">
                  <c:v>355.222565006611</c:v>
                </c:pt>
                <c:pt idx="3">
                  <c:v>277.655354781842</c:v>
                </c:pt>
                <c:pt idx="4">
                  <c:v>216.835610401058</c:v>
                </c:pt>
                <c:pt idx="5">
                  <c:v>183.340678713089</c:v>
                </c:pt>
                <c:pt idx="6">
                  <c:v>147.642133098281</c:v>
                </c:pt>
                <c:pt idx="7">
                  <c:v>127.809607756721</c:v>
                </c:pt>
                <c:pt idx="8">
                  <c:v>109.299250771265</c:v>
                </c:pt>
                <c:pt idx="9">
                  <c:v>102.688408990745</c:v>
                </c:pt>
              </c:numCache>
            </c:numRef>
          </c:yVal>
          <c:smooth val="0"/>
        </c:ser>
        <c:axId val="50250987"/>
        <c:axId val="77707628"/>
      </c:scatterChart>
      <c:valAx>
        <c:axId val="50250987"/>
        <c:scaling>
          <c:orientation val="minMax"/>
          <c:min val="60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s-E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es-ES" sz="1000" spc="-1" strike="noStrike">
                    <a:solidFill>
                      <a:srgbClr val="595959"/>
                    </a:solidFill>
                    <a:latin typeface="Calibri"/>
                  </a:rPr>
                  <a:t>Distancia (cm)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lang="es-E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7707628"/>
        <c:crosses val="autoZero"/>
        <c:crossBetween val="midCat"/>
      </c:valAx>
      <c:valAx>
        <c:axId val="77707628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s-E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es-ES" sz="1000" spc="-1" strike="noStrike">
                    <a:solidFill>
                      <a:srgbClr val="595959"/>
                    </a:solidFill>
                    <a:latin typeface="Calibri"/>
                  </a:rPr>
                  <a:t>Intensidad de luz (W/m2)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_);[RED]\(#,##0\)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lang="es-E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0250987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09857168047963"/>
          <c:y val="0.0517168885774352"/>
          <c:w val="0.817962734379592"/>
          <c:h val="0.736229852838122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'Intensidad-distancia'!$G$2:$G$11</c:f>
              <c:numCache>
                <c:formatCode>General</c:formatCode>
                <c:ptCount val="10"/>
                <c:pt idx="0">
                  <c:v>1.79934054945358</c:v>
                </c:pt>
                <c:pt idx="1">
                  <c:v>1.84509804001426</c:v>
                </c:pt>
                <c:pt idx="2">
                  <c:v>1.90308998699194</c:v>
                </c:pt>
                <c:pt idx="3">
                  <c:v>1.95424250943932</c:v>
                </c:pt>
                <c:pt idx="4">
                  <c:v>2</c:v>
                </c:pt>
                <c:pt idx="5">
                  <c:v>2.04139268515822</c:v>
                </c:pt>
                <c:pt idx="6">
                  <c:v>2.07918124604762</c:v>
                </c:pt>
                <c:pt idx="7">
                  <c:v>2.11394335230684</c:v>
                </c:pt>
                <c:pt idx="8">
                  <c:v>2.14612803567824</c:v>
                </c:pt>
                <c:pt idx="9">
                  <c:v>2.16136800223497</c:v>
                </c:pt>
              </c:numCache>
            </c:numRef>
          </c:xVal>
          <c:yVal>
            <c:numRef>
              <c:f>'Intensidad-distancia'!$H$2:$H$11</c:f>
              <c:numCache>
                <c:formatCode>General</c:formatCode>
                <c:ptCount val="10"/>
                <c:pt idx="0">
                  <c:v>2.78780473938961</c:v>
                </c:pt>
                <c:pt idx="1">
                  <c:v>2.67959524229961</c:v>
                </c:pt>
                <c:pt idx="2">
                  <c:v>2.55050054592015</c:v>
                </c:pt>
                <c:pt idx="3">
                  <c:v>2.44350605356865</c:v>
                </c:pt>
                <c:pt idx="4">
                  <c:v>2.33613060688242</c:v>
                </c:pt>
                <c:pt idx="5">
                  <c:v>2.26325883474181</c:v>
                </c:pt>
                <c:pt idx="6">
                  <c:v>2.16921031115191</c:v>
                </c:pt>
                <c:pt idx="7">
                  <c:v>2.10656350201402</c:v>
                </c:pt>
                <c:pt idx="8">
                  <c:v>2.03861718494128</c:v>
                </c:pt>
                <c:pt idx="9">
                  <c:v>2.01152142514108</c:v>
                </c:pt>
              </c:numCache>
            </c:numRef>
          </c:yVal>
          <c:smooth val="0"/>
        </c:ser>
        <c:axId val="90222559"/>
        <c:axId val="89027335"/>
      </c:scatterChart>
      <c:valAx>
        <c:axId val="90222559"/>
        <c:scaling>
          <c:orientation val="minMax"/>
          <c:min val="1.75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s-E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es-ES" sz="1000" spc="-1" strike="noStrike">
                    <a:solidFill>
                      <a:srgbClr val="595959"/>
                    </a:solidFill>
                    <a:latin typeface="Calibri"/>
                  </a:rPr>
                  <a:t>Log(distancia [cm])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lang="es-E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9027335"/>
        <c:crosses val="autoZero"/>
        <c:crossBetween val="midCat"/>
      </c:valAx>
      <c:valAx>
        <c:axId val="89027335"/>
        <c:scaling>
          <c:orientation val="minMax"/>
          <c:min val="2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s-E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es-ES" sz="1000" spc="-1" strike="noStrike">
                    <a:solidFill>
                      <a:srgbClr val="595959"/>
                    </a:solidFill>
                    <a:latin typeface="Calibri"/>
                  </a:rPr>
                  <a:t>Log(intensidad [W/m2])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lang="es-E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0222559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s-E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s-ES" sz="1400" spc="-1" strike="noStrike">
                <a:solidFill>
                  <a:srgbClr val="000000"/>
                </a:solidFill>
                <a:latin typeface="Calibri"/>
              </a:rPr>
              <a:t>d = 70 cm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716344330679"/>
          <c:y val="0.176585638446493"/>
          <c:w val="0.878965996713437"/>
          <c:h val="0.668343112601285"/>
        </c:manualLayout>
      </c:layout>
      <c:scatterChart>
        <c:scatterStyle val="lineMarker"/>
        <c:varyColors val="0"/>
        <c:ser>
          <c:idx val="0"/>
          <c:order val="0"/>
          <c:tx>
            <c:strRef>
              <c:f>'Curvas características'!$D$7</c:f>
              <c:strCache>
                <c:ptCount val="1"/>
                <c:pt idx="0">
                  <c:v>mA</c:v>
                </c:pt>
              </c:strCache>
            </c:strRef>
          </c:tx>
          <c:spPr>
            <a:solidFill>
              <a:srgbClr val="5b9bd5"/>
            </a:solidFill>
            <a:ln cap="rnd" w="12600">
              <a:solidFill>
                <a:srgbClr val="5b9bd5"/>
              </a:solidFill>
              <a:prstDash val="sysDot"/>
              <a:round/>
            </a:ln>
          </c:spPr>
          <c:marker>
            <c:symbol val="circle"/>
            <c:size val="3"/>
            <c:spPr>
              <a:solidFill>
                <a:srgbClr val="5b9bd5"/>
              </a:solidFill>
            </c:spPr>
          </c:marker>
          <c:dPt>
            <c:idx val="0"/>
            <c:marker>
              <c:symbol val="circle"/>
              <c:size val="3"/>
              <c:spPr>
                <a:solidFill>
                  <a:srgbClr val="5b9bd5"/>
                </a:solidFill>
              </c:spPr>
            </c:marker>
          </c:dPt>
          <c:dPt>
            <c:idx val="16"/>
            <c:marker>
              <c:symbol val="circle"/>
              <c:size val="3"/>
              <c:spPr>
                <a:solidFill>
                  <a:srgbClr val="5b9bd5"/>
                </a:solidFill>
              </c:spPr>
            </c:marker>
          </c:dPt>
          <c:dPt>
            <c:idx val="20"/>
            <c:marker>
              <c:symbol val="circle"/>
              <c:size val="3"/>
              <c:spPr>
                <a:solidFill>
                  <a:srgbClr val="5b9bd5"/>
                </a:solidFill>
              </c:spPr>
            </c:marker>
          </c:dPt>
          <c:dLbls>
            <c:dLbl>
              <c:idx val="0"/>
              <c:txPr>
                <a:bodyPr wrap="square"/>
                <a:lstStyle/>
                <a:p>
                  <a:pPr>
                    <a:defRPr b="0" lang="es-ES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6"/>
              <c:txPr>
                <a:bodyPr wrap="square"/>
                <a:lstStyle/>
                <a:p>
                  <a:pPr>
                    <a:defRPr b="0" lang="es-ES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0"/>
              <c:txPr>
                <a:bodyPr wrap="square"/>
                <a:lstStyle/>
                <a:p>
                  <a:pPr>
                    <a:defRPr b="0" lang="es-ES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lang="es-E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'Curvas características'!$I$8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plus>
            <c:minus>
              <c:numRef>
                <c:f>'Curvas características'!$I$8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minus>
            <c:spPr>
              <a:ln w="6480">
                <a:solidFill>
                  <a:srgbClr val="000000"/>
                </a:solidFill>
                <a:round/>
              </a:ln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'Curvas características'!$H$8</c:f>
                <c:numCache>
                  <c:formatCode>General</c:formatCode>
                  <c:ptCount val="1"/>
                  <c:pt idx="0">
                    <c:v>0.01</c:v>
                  </c:pt>
                </c:numCache>
              </c:numRef>
            </c:plus>
            <c:minus>
              <c:numRef>
                <c:f>'Curvas características'!$H$8</c:f>
                <c:numCache>
                  <c:formatCode>General</c:formatCode>
                  <c:ptCount val="1"/>
                  <c:pt idx="0">
                    <c:v>0.01</c:v>
                  </c:pt>
                </c:numCache>
              </c:numRef>
            </c:minus>
            <c:spPr>
              <a:ln w="6480">
                <a:solidFill>
                  <a:srgbClr val="000000"/>
                </a:solidFill>
                <a:round/>
              </a:ln>
            </c:spPr>
          </c:errBars>
          <c:xVal>
            <c:numRef>
              <c:f>'Curvas características'!$C$8:$C$28</c:f>
              <c:numCache>
                <c:formatCode>General</c:formatCode>
                <c:ptCount val="21"/>
                <c:pt idx="0">
                  <c:v>2.17</c:v>
                </c:pt>
                <c:pt idx="1">
                  <c:v>2.13</c:v>
                </c:pt>
                <c:pt idx="2">
                  <c:v>2.11</c:v>
                </c:pt>
                <c:pt idx="3">
                  <c:v>2.1</c:v>
                </c:pt>
                <c:pt idx="4">
                  <c:v>2.09</c:v>
                </c:pt>
                <c:pt idx="5">
                  <c:v>2.08</c:v>
                </c:pt>
                <c:pt idx="6">
                  <c:v>2.07</c:v>
                </c:pt>
                <c:pt idx="7">
                  <c:v>2.05</c:v>
                </c:pt>
                <c:pt idx="8">
                  <c:v>2.04</c:v>
                </c:pt>
                <c:pt idx="9">
                  <c:v>2.02</c:v>
                </c:pt>
                <c:pt idx="10">
                  <c:v>2.01</c:v>
                </c:pt>
                <c:pt idx="11">
                  <c:v>1.98</c:v>
                </c:pt>
                <c:pt idx="12">
                  <c:v>1.96</c:v>
                </c:pt>
                <c:pt idx="13">
                  <c:v>1.9</c:v>
                </c:pt>
                <c:pt idx="14">
                  <c:v>1.85</c:v>
                </c:pt>
                <c:pt idx="15">
                  <c:v>1.75</c:v>
                </c:pt>
                <c:pt idx="16">
                  <c:v>1.46</c:v>
                </c:pt>
                <c:pt idx="17">
                  <c:v>1.08</c:v>
                </c:pt>
                <c:pt idx="18">
                  <c:v>0.77</c:v>
                </c:pt>
                <c:pt idx="19">
                  <c:v>0.4</c:v>
                </c:pt>
                <c:pt idx="20">
                  <c:v>0</c:v>
                </c:pt>
              </c:numCache>
            </c:numRef>
          </c:xVal>
          <c:yVal>
            <c:numRef>
              <c:f>'Curvas características'!$D$8:$D$28</c:f>
              <c:numCache>
                <c:formatCode>General</c:formatCode>
                <c:ptCount val="21"/>
                <c:pt idx="0">
                  <c:v>0</c:v>
                </c:pt>
                <c:pt idx="1">
                  <c:v>4.9</c:v>
                </c:pt>
                <c:pt idx="2">
                  <c:v>7</c:v>
                </c:pt>
                <c:pt idx="3">
                  <c:v>7.6</c:v>
                </c:pt>
                <c:pt idx="4">
                  <c:v>8.3</c:v>
                </c:pt>
                <c:pt idx="5">
                  <c:v>9.5</c:v>
                </c:pt>
                <c:pt idx="6">
                  <c:v>10.9</c:v>
                </c:pt>
                <c:pt idx="7">
                  <c:v>12.5</c:v>
                </c:pt>
                <c:pt idx="8">
                  <c:v>13.6</c:v>
                </c:pt>
                <c:pt idx="9">
                  <c:v>15.8</c:v>
                </c:pt>
                <c:pt idx="10">
                  <c:v>16.8</c:v>
                </c:pt>
                <c:pt idx="11">
                  <c:v>20.5</c:v>
                </c:pt>
                <c:pt idx="12">
                  <c:v>23.4</c:v>
                </c:pt>
                <c:pt idx="13">
                  <c:v>29.2</c:v>
                </c:pt>
                <c:pt idx="14">
                  <c:v>33.8</c:v>
                </c:pt>
                <c:pt idx="15">
                  <c:v>43.3</c:v>
                </c:pt>
                <c:pt idx="16">
                  <c:v>60.9</c:v>
                </c:pt>
                <c:pt idx="17">
                  <c:v>67.5</c:v>
                </c:pt>
                <c:pt idx="18">
                  <c:v>67.8</c:v>
                </c:pt>
                <c:pt idx="19">
                  <c:v>68</c:v>
                </c:pt>
                <c:pt idx="20">
                  <c:v>67.7</c:v>
                </c:pt>
              </c:numCache>
            </c:numRef>
          </c:yVal>
          <c:smooth val="0"/>
        </c:ser>
        <c:axId val="99032373"/>
        <c:axId val="65912927"/>
      </c:scatterChart>
      <c:valAx>
        <c:axId val="99032373"/>
        <c:scaling>
          <c:orientation val="minMax"/>
          <c:max val="2.2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s-E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s-ES" sz="1000" spc="-1" strike="noStrike">
                    <a:solidFill>
                      <a:srgbClr val="000000"/>
                    </a:solidFill>
                    <a:latin typeface="Calibri"/>
                  </a:rPr>
                  <a:t>V (V)</a:t>
                </a:r>
              </a:p>
            </c:rich>
          </c:tx>
          <c:layout>
            <c:manualLayout>
              <c:xMode val="edge"/>
              <c:yMode val="edge"/>
              <c:x val="0.45417772721527"/>
              <c:y val="0.918832075998882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lang="es-E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5912927"/>
        <c:crosses val="autoZero"/>
        <c:crossBetween val="midCat"/>
      </c:valAx>
      <c:valAx>
        <c:axId val="65912927"/>
        <c:scaling>
          <c:orientation val="minMax"/>
          <c:max val="70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s-E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s-ES" sz="1000" spc="-1" strike="noStrike">
                    <a:solidFill>
                      <a:srgbClr val="000000"/>
                    </a:solidFill>
                    <a:latin typeface="Calibri"/>
                  </a:rPr>
                  <a:t>I (mA)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lang="es-E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9032373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s-E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s-ES" sz="1400" spc="-1" strike="noStrike">
                <a:solidFill>
                  <a:srgbClr val="000000"/>
                </a:solidFill>
                <a:latin typeface="Calibri"/>
              </a:rPr>
              <a:t>d = 110 cm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cap="rnd" w="12600">
              <a:solidFill>
                <a:srgbClr val="5b9bd5"/>
              </a:solidFill>
              <a:prstDash val="sysDot"/>
              <a:round/>
            </a:ln>
          </c:spPr>
          <c:marker>
            <c:symbol val="circle"/>
            <c:size val="3"/>
            <c:spPr>
              <a:solidFill>
                <a:srgbClr val="5b9bd5"/>
              </a:solidFill>
            </c:spPr>
          </c:marker>
          <c:dPt>
            <c:idx val="0"/>
            <c:marker>
              <c:symbol val="circle"/>
              <c:size val="3"/>
              <c:spPr>
                <a:solidFill>
                  <a:srgbClr val="5b9bd5"/>
                </a:solidFill>
              </c:spPr>
            </c:marker>
          </c:dPt>
          <c:dPt>
            <c:idx val="19"/>
            <c:marker>
              <c:symbol val="circle"/>
              <c:size val="3"/>
              <c:spPr>
                <a:solidFill>
                  <a:srgbClr val="5b9bd5"/>
                </a:solidFill>
              </c:spPr>
            </c:marker>
          </c:dPt>
          <c:dPt>
            <c:idx val="25"/>
            <c:marker>
              <c:symbol val="circle"/>
              <c:size val="3"/>
              <c:spPr>
                <a:solidFill>
                  <a:srgbClr val="5b9bd5"/>
                </a:solidFill>
              </c:spPr>
            </c:marker>
          </c:dPt>
          <c:dLbls>
            <c:dLbl>
              <c:idx val="0"/>
              <c:txPr>
                <a:bodyPr wrap="square"/>
                <a:lstStyle/>
                <a:p>
                  <a:pPr>
                    <a:defRPr b="0" lang="es-ES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9"/>
              <c:txPr>
                <a:bodyPr wrap="square"/>
                <a:lstStyle/>
                <a:p>
                  <a:pPr>
                    <a:defRPr b="0" lang="es-ES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5"/>
              <c:txPr>
                <a:bodyPr wrap="square"/>
                <a:lstStyle/>
                <a:p>
                  <a:pPr>
                    <a:defRPr b="0" lang="es-ES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lang="es-E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'Curvas características'!$I$38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plus>
            <c:minus>
              <c:numRef>
                <c:f>'Curvas características'!$I$38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minus>
            <c:spPr>
              <a:ln w="6480">
                <a:solidFill>
                  <a:srgbClr val="000000"/>
                </a:solidFill>
                <a:round/>
              </a:ln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'Curvas características'!$H$38</c:f>
                <c:numCache>
                  <c:formatCode>General</c:formatCode>
                  <c:ptCount val="1"/>
                  <c:pt idx="0">
                    <c:v>0.01</c:v>
                  </c:pt>
                </c:numCache>
              </c:numRef>
            </c:plus>
            <c:minus>
              <c:numRef>
                <c:f>'Curvas características'!$H$38</c:f>
                <c:numCache>
                  <c:formatCode>General</c:formatCode>
                  <c:ptCount val="1"/>
                  <c:pt idx="0">
                    <c:v>0.01</c:v>
                  </c:pt>
                </c:numCache>
              </c:numRef>
            </c:minus>
            <c:spPr>
              <a:ln w="6480">
                <a:solidFill>
                  <a:srgbClr val="000000"/>
                </a:solidFill>
                <a:round/>
              </a:ln>
            </c:spPr>
          </c:errBars>
          <c:xVal>
            <c:numRef>
              <c:f>'Curvas características'!$F$38:$F$63</c:f>
              <c:numCache>
                <c:formatCode>General</c:formatCode>
                <c:ptCount val="26"/>
                <c:pt idx="0">
                  <c:v>2.03</c:v>
                </c:pt>
                <c:pt idx="1">
                  <c:v>1.98</c:v>
                </c:pt>
                <c:pt idx="2">
                  <c:v>1.97</c:v>
                </c:pt>
                <c:pt idx="3">
                  <c:v>1.96</c:v>
                </c:pt>
                <c:pt idx="4">
                  <c:v>1.95</c:v>
                </c:pt>
                <c:pt idx="5">
                  <c:v>1.94</c:v>
                </c:pt>
                <c:pt idx="6">
                  <c:v>1.93</c:v>
                </c:pt>
                <c:pt idx="7">
                  <c:v>1.92</c:v>
                </c:pt>
                <c:pt idx="8">
                  <c:v>1.91</c:v>
                </c:pt>
                <c:pt idx="9">
                  <c:v>1.9</c:v>
                </c:pt>
                <c:pt idx="10">
                  <c:v>1.89</c:v>
                </c:pt>
                <c:pt idx="11">
                  <c:v>1.88</c:v>
                </c:pt>
                <c:pt idx="12">
                  <c:v>1.87</c:v>
                </c:pt>
                <c:pt idx="13">
                  <c:v>1.86</c:v>
                </c:pt>
                <c:pt idx="14">
                  <c:v>1.85</c:v>
                </c:pt>
                <c:pt idx="15">
                  <c:v>1.84</c:v>
                </c:pt>
                <c:pt idx="16">
                  <c:v>1.83</c:v>
                </c:pt>
                <c:pt idx="17">
                  <c:v>1.82</c:v>
                </c:pt>
                <c:pt idx="18">
                  <c:v>1.74</c:v>
                </c:pt>
                <c:pt idx="19">
                  <c:v>1.55</c:v>
                </c:pt>
                <c:pt idx="20">
                  <c:v>1.42</c:v>
                </c:pt>
                <c:pt idx="21">
                  <c:v>1.17</c:v>
                </c:pt>
                <c:pt idx="22">
                  <c:v>0.86</c:v>
                </c:pt>
                <c:pt idx="23">
                  <c:v>0.64</c:v>
                </c:pt>
                <c:pt idx="24">
                  <c:v>0.46</c:v>
                </c:pt>
                <c:pt idx="25">
                  <c:v>0</c:v>
                </c:pt>
              </c:numCache>
            </c:numRef>
          </c:xVal>
          <c:yVal>
            <c:numRef>
              <c:f>'Curvas características'!$G$38:$G$63</c:f>
              <c:numCache>
                <c:formatCode>General</c:formatCode>
                <c:ptCount val="26"/>
                <c:pt idx="0">
                  <c:v>0</c:v>
                </c:pt>
                <c:pt idx="1">
                  <c:v>4.6</c:v>
                </c:pt>
                <c:pt idx="2">
                  <c:v>6.4</c:v>
                </c:pt>
                <c:pt idx="3">
                  <c:v>7.1</c:v>
                </c:pt>
                <c:pt idx="4">
                  <c:v>7.9</c:v>
                </c:pt>
                <c:pt idx="5">
                  <c:v>9.2</c:v>
                </c:pt>
                <c:pt idx="6">
                  <c:v>10</c:v>
                </c:pt>
                <c:pt idx="7">
                  <c:v>10.6</c:v>
                </c:pt>
                <c:pt idx="8">
                  <c:v>11.3</c:v>
                </c:pt>
                <c:pt idx="9">
                  <c:v>12.2</c:v>
                </c:pt>
                <c:pt idx="10">
                  <c:v>13.3</c:v>
                </c:pt>
                <c:pt idx="11">
                  <c:v>13.9</c:v>
                </c:pt>
                <c:pt idx="12">
                  <c:v>14.6</c:v>
                </c:pt>
                <c:pt idx="13">
                  <c:v>15.2</c:v>
                </c:pt>
                <c:pt idx="14">
                  <c:v>16</c:v>
                </c:pt>
                <c:pt idx="15">
                  <c:v>16.6</c:v>
                </c:pt>
                <c:pt idx="16">
                  <c:v>17.4</c:v>
                </c:pt>
                <c:pt idx="17">
                  <c:v>17.8</c:v>
                </c:pt>
                <c:pt idx="18">
                  <c:v>21.5</c:v>
                </c:pt>
                <c:pt idx="19">
                  <c:v>26.7</c:v>
                </c:pt>
                <c:pt idx="20">
                  <c:v>29</c:v>
                </c:pt>
                <c:pt idx="21">
                  <c:v>30.3</c:v>
                </c:pt>
                <c:pt idx="22">
                  <c:v>31.6</c:v>
                </c:pt>
                <c:pt idx="23">
                  <c:v>31.7</c:v>
                </c:pt>
                <c:pt idx="24">
                  <c:v>31.7</c:v>
                </c:pt>
                <c:pt idx="25">
                  <c:v>31.8</c:v>
                </c:pt>
              </c:numCache>
            </c:numRef>
          </c:yVal>
          <c:smooth val="0"/>
        </c:ser>
        <c:axId val="33463801"/>
        <c:axId val="12877020"/>
      </c:scatterChart>
      <c:valAx>
        <c:axId val="33463801"/>
        <c:scaling>
          <c:orientation val="minMax"/>
          <c:max val="2.2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s-E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s-ES" sz="1000" spc="-1" strike="noStrike">
                    <a:solidFill>
                      <a:srgbClr val="000000"/>
                    </a:solidFill>
                    <a:latin typeface="Calibri"/>
                  </a:rPr>
                  <a:t>V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lang="es-E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2877020"/>
        <c:crosses val="autoZero"/>
        <c:crossBetween val="midCat"/>
      </c:valAx>
      <c:valAx>
        <c:axId val="12877020"/>
        <c:scaling>
          <c:orientation val="minMax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s-E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s-ES" sz="1000" spc="-1" strike="noStrike">
                    <a:solidFill>
                      <a:srgbClr val="000000"/>
                    </a:solidFill>
                    <a:latin typeface="Calibri"/>
                  </a:rPr>
                  <a:t>I (mA)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lang="es-E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3463801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s-E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s-ES" sz="1400" spc="-1" strike="noStrike">
                <a:solidFill>
                  <a:srgbClr val="000000"/>
                </a:solidFill>
                <a:latin typeface="Calibri"/>
              </a:rPr>
              <a:t>d = 150 cm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cap="rnd" w="12600">
              <a:solidFill>
                <a:srgbClr val="5b9bd5"/>
              </a:solidFill>
              <a:prstDash val="sysDot"/>
              <a:round/>
            </a:ln>
          </c:spPr>
          <c:marker>
            <c:symbol val="circle"/>
            <c:size val="3"/>
            <c:spPr>
              <a:solidFill>
                <a:srgbClr val="5b9bd5"/>
              </a:solidFill>
            </c:spPr>
          </c:marker>
          <c:dPt>
            <c:idx val="0"/>
            <c:marker>
              <c:symbol val="circle"/>
              <c:size val="3"/>
              <c:spPr>
                <a:solidFill>
                  <a:srgbClr val="5b9bd5"/>
                </a:solidFill>
              </c:spPr>
            </c:marker>
          </c:dPt>
          <c:dPt>
            <c:idx val="21"/>
            <c:marker>
              <c:symbol val="circle"/>
              <c:size val="3"/>
              <c:spPr>
                <a:solidFill>
                  <a:srgbClr val="5b9bd5"/>
                </a:solidFill>
              </c:spPr>
            </c:marker>
          </c:dPt>
          <c:dPt>
            <c:idx val="28"/>
            <c:marker>
              <c:symbol val="circle"/>
              <c:size val="3"/>
              <c:spPr>
                <a:solidFill>
                  <a:srgbClr val="5b9bd5"/>
                </a:solidFill>
              </c:spPr>
            </c:marker>
          </c:dPt>
          <c:dLbls>
            <c:dLbl>
              <c:idx val="0"/>
              <c:txPr>
                <a:bodyPr wrap="square"/>
                <a:lstStyle/>
                <a:p>
                  <a:pPr>
                    <a:defRPr b="0" lang="es-ES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1"/>
              <c:txPr>
                <a:bodyPr wrap="square"/>
                <a:lstStyle/>
                <a:p>
                  <a:pPr>
                    <a:defRPr b="0" lang="es-ES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8"/>
              <c:txPr>
                <a:bodyPr wrap="square"/>
                <a:lstStyle/>
                <a:p>
                  <a:pPr>
                    <a:defRPr b="0" lang="es-ES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lang="es-E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'Curvas características'!$I$68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plus>
            <c:minus>
              <c:numRef>
                <c:f>'Curvas características'!$I$68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minus>
            <c:spPr>
              <a:ln w="6480">
                <a:solidFill>
                  <a:srgbClr val="000000"/>
                </a:solidFill>
                <a:round/>
              </a:ln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'Curvas características'!$H$68</c:f>
                <c:numCache>
                  <c:formatCode>General</c:formatCode>
                  <c:ptCount val="1"/>
                  <c:pt idx="0">
                    <c:v>0.01</c:v>
                  </c:pt>
                </c:numCache>
              </c:numRef>
            </c:plus>
            <c:minus>
              <c:numRef>
                <c:f>'Curvas características'!$H$68</c:f>
                <c:numCache>
                  <c:formatCode>General</c:formatCode>
                  <c:ptCount val="1"/>
                  <c:pt idx="0">
                    <c:v>0.01</c:v>
                  </c:pt>
                </c:numCache>
              </c:numRef>
            </c:minus>
            <c:spPr>
              <a:ln w="6480">
                <a:solidFill>
                  <a:srgbClr val="000000"/>
                </a:solidFill>
                <a:round/>
              </a:ln>
            </c:spPr>
          </c:errBars>
          <c:xVal>
            <c:numRef>
              <c:f>'Curvas características'!$F$68:$F$96</c:f>
              <c:numCache>
                <c:formatCode>General</c:formatCode>
                <c:ptCount val="29"/>
                <c:pt idx="0">
                  <c:v>1.98</c:v>
                </c:pt>
                <c:pt idx="1">
                  <c:v>1.9</c:v>
                </c:pt>
                <c:pt idx="2">
                  <c:v>1.88</c:v>
                </c:pt>
                <c:pt idx="3">
                  <c:v>1.87</c:v>
                </c:pt>
                <c:pt idx="4">
                  <c:v>1.86</c:v>
                </c:pt>
                <c:pt idx="5">
                  <c:v>1.85</c:v>
                </c:pt>
                <c:pt idx="6">
                  <c:v>1.84</c:v>
                </c:pt>
                <c:pt idx="7">
                  <c:v>1.83</c:v>
                </c:pt>
                <c:pt idx="8">
                  <c:v>1.82</c:v>
                </c:pt>
                <c:pt idx="9">
                  <c:v>1.81</c:v>
                </c:pt>
                <c:pt idx="10">
                  <c:v>1.8</c:v>
                </c:pt>
                <c:pt idx="11">
                  <c:v>1.78</c:v>
                </c:pt>
                <c:pt idx="12">
                  <c:v>1.77</c:v>
                </c:pt>
                <c:pt idx="13">
                  <c:v>1.76</c:v>
                </c:pt>
                <c:pt idx="14">
                  <c:v>1.74</c:v>
                </c:pt>
                <c:pt idx="15">
                  <c:v>1.72</c:v>
                </c:pt>
                <c:pt idx="16">
                  <c:v>1.7</c:v>
                </c:pt>
                <c:pt idx="17">
                  <c:v>1.67</c:v>
                </c:pt>
                <c:pt idx="18">
                  <c:v>1.65</c:v>
                </c:pt>
                <c:pt idx="19">
                  <c:v>1.62</c:v>
                </c:pt>
                <c:pt idx="20">
                  <c:v>1.58</c:v>
                </c:pt>
                <c:pt idx="21">
                  <c:v>1.52</c:v>
                </c:pt>
                <c:pt idx="22">
                  <c:v>1.37</c:v>
                </c:pt>
                <c:pt idx="23">
                  <c:v>1.25</c:v>
                </c:pt>
                <c:pt idx="24">
                  <c:v>1.1</c:v>
                </c:pt>
                <c:pt idx="25">
                  <c:v>0.75</c:v>
                </c:pt>
                <c:pt idx="26">
                  <c:v>0.45</c:v>
                </c:pt>
                <c:pt idx="27">
                  <c:v>0.11</c:v>
                </c:pt>
                <c:pt idx="28">
                  <c:v>0</c:v>
                </c:pt>
              </c:numCache>
            </c:numRef>
          </c:xVal>
          <c:yVal>
            <c:numRef>
              <c:f>'Curvas características'!$G$68:$G$96</c:f>
              <c:numCache>
                <c:formatCode>General</c:formatCode>
                <c:ptCount val="29"/>
                <c:pt idx="0">
                  <c:v>0</c:v>
                </c:pt>
                <c:pt idx="1">
                  <c:v>4.8</c:v>
                </c:pt>
                <c:pt idx="2">
                  <c:v>5.8</c:v>
                </c:pt>
                <c:pt idx="3">
                  <c:v>6.2</c:v>
                </c:pt>
                <c:pt idx="4">
                  <c:v>7</c:v>
                </c:pt>
                <c:pt idx="5">
                  <c:v>7.3</c:v>
                </c:pt>
                <c:pt idx="6">
                  <c:v>8</c:v>
                </c:pt>
                <c:pt idx="7">
                  <c:v>8.3</c:v>
                </c:pt>
                <c:pt idx="8">
                  <c:v>8.5</c:v>
                </c:pt>
                <c:pt idx="9">
                  <c:v>9</c:v>
                </c:pt>
                <c:pt idx="10">
                  <c:v>9.4</c:v>
                </c:pt>
                <c:pt idx="11">
                  <c:v>9.9</c:v>
                </c:pt>
                <c:pt idx="12">
                  <c:v>10.3</c:v>
                </c:pt>
                <c:pt idx="13">
                  <c:v>10.6</c:v>
                </c:pt>
                <c:pt idx="14">
                  <c:v>11</c:v>
                </c:pt>
                <c:pt idx="15">
                  <c:v>11.4</c:v>
                </c:pt>
                <c:pt idx="16">
                  <c:v>11.7</c:v>
                </c:pt>
                <c:pt idx="17">
                  <c:v>12.1</c:v>
                </c:pt>
                <c:pt idx="18">
                  <c:v>12.7</c:v>
                </c:pt>
                <c:pt idx="19">
                  <c:v>13.2</c:v>
                </c:pt>
                <c:pt idx="20">
                  <c:v>13.8</c:v>
                </c:pt>
                <c:pt idx="21">
                  <c:v>14.3</c:v>
                </c:pt>
                <c:pt idx="22">
                  <c:v>15.5</c:v>
                </c:pt>
                <c:pt idx="23">
                  <c:v>16.1</c:v>
                </c:pt>
                <c:pt idx="24">
                  <c:v>16.5</c:v>
                </c:pt>
                <c:pt idx="25">
                  <c:v>16.9</c:v>
                </c:pt>
                <c:pt idx="26">
                  <c:v>17.1</c:v>
                </c:pt>
                <c:pt idx="27">
                  <c:v>17.2</c:v>
                </c:pt>
                <c:pt idx="28">
                  <c:v>17.2</c:v>
                </c:pt>
              </c:numCache>
            </c:numRef>
          </c:yVal>
          <c:smooth val="0"/>
        </c:ser>
        <c:axId val="54503679"/>
        <c:axId val="93541895"/>
      </c:scatterChart>
      <c:valAx>
        <c:axId val="54503679"/>
        <c:scaling>
          <c:orientation val="minMax"/>
          <c:max val="2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s-E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s-ES" sz="1000" spc="-1" strike="noStrike">
                    <a:solidFill>
                      <a:srgbClr val="000000"/>
                    </a:solidFill>
                    <a:latin typeface="Calibri"/>
                  </a:rPr>
                  <a:t>V (mV)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lang="es-E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3541895"/>
        <c:crosses val="autoZero"/>
        <c:crossBetween val="midCat"/>
      </c:valAx>
      <c:valAx>
        <c:axId val="93541895"/>
        <c:scaling>
          <c:orientation val="minMax"/>
          <c:max val="18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s-E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s-ES" sz="1000" spc="-1" strike="noStrike">
                    <a:solidFill>
                      <a:srgbClr val="000000"/>
                    </a:solidFill>
                    <a:latin typeface="Calibri"/>
                  </a:rPr>
                  <a:t>I (mA)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lang="es-E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4503679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2f5597"/>
            </a:solidFill>
            <a:ln cap="rnd" w="12600">
              <a:solidFill>
                <a:srgbClr val="2f5597"/>
              </a:solidFill>
              <a:prstDash val="sysDot"/>
              <a:round/>
            </a:ln>
          </c:spPr>
          <c:marker>
            <c:symbol val="circle"/>
            <c:size val="3"/>
            <c:spPr>
              <a:solidFill>
                <a:srgbClr val="2f5597"/>
              </a:solidFill>
            </c:spPr>
          </c:marker>
          <c:dPt>
            <c:idx val="19"/>
            <c:marker>
              <c:symbol val="circle"/>
              <c:size val="3"/>
              <c:spPr>
                <a:solidFill>
                  <a:srgbClr val="2f5597"/>
                </a:solidFill>
              </c:spPr>
            </c:marker>
          </c:dPt>
          <c:dLbls>
            <c:dLbl>
              <c:idx val="19"/>
              <c:txPr>
                <a:bodyPr wrap="square"/>
                <a:lstStyle/>
                <a:p>
                  <a:pPr>
                    <a:defRPr b="0" lang="es-ES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lang="es-E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'Curvas VI juntas'!$H$4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plus>
            <c:minus>
              <c:numRef>
                <c:f>'Curvas VI juntas'!$H$4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minus>
            <c:spPr>
              <a:ln w="6480">
                <a:solidFill>
                  <a:srgbClr val="000000"/>
                </a:solidFill>
                <a:round/>
              </a:ln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'Curvas VI juntas'!$G$4</c:f>
                <c:numCache>
                  <c:formatCode>General</c:formatCode>
                  <c:ptCount val="1"/>
                  <c:pt idx="0">
                    <c:v>0.01</c:v>
                  </c:pt>
                </c:numCache>
              </c:numRef>
            </c:plus>
            <c:minus>
              <c:numRef>
                <c:f>'Curvas VI juntas'!$G$4</c:f>
                <c:numCache>
                  <c:formatCode>General</c:formatCode>
                  <c:ptCount val="1"/>
                  <c:pt idx="0">
                    <c:v>0.01</c:v>
                  </c:pt>
                </c:numCache>
              </c:numRef>
            </c:minus>
            <c:spPr>
              <a:ln w="6480">
                <a:solidFill>
                  <a:srgbClr val="000000"/>
                </a:solidFill>
                <a:round/>
              </a:ln>
            </c:spPr>
          </c:errBars>
          <c:xVal>
            <c:numRef>
              <c:f>'Curvas VI juntas'!$E$4:$E$29</c:f>
              <c:numCache>
                <c:formatCode>General</c:formatCode>
                <c:ptCount val="26"/>
                <c:pt idx="0">
                  <c:v>2.03</c:v>
                </c:pt>
                <c:pt idx="1">
                  <c:v>1.98</c:v>
                </c:pt>
                <c:pt idx="2">
                  <c:v>1.97</c:v>
                </c:pt>
                <c:pt idx="3">
                  <c:v>1.96</c:v>
                </c:pt>
                <c:pt idx="4">
                  <c:v>1.95</c:v>
                </c:pt>
                <c:pt idx="5">
                  <c:v>1.94</c:v>
                </c:pt>
                <c:pt idx="6">
                  <c:v>1.93</c:v>
                </c:pt>
                <c:pt idx="7">
                  <c:v>1.92</c:v>
                </c:pt>
                <c:pt idx="8">
                  <c:v>1.91</c:v>
                </c:pt>
                <c:pt idx="9">
                  <c:v>1.9</c:v>
                </c:pt>
                <c:pt idx="10">
                  <c:v>1.89</c:v>
                </c:pt>
                <c:pt idx="11">
                  <c:v>1.88</c:v>
                </c:pt>
                <c:pt idx="12">
                  <c:v>1.87</c:v>
                </c:pt>
                <c:pt idx="13">
                  <c:v>1.86</c:v>
                </c:pt>
                <c:pt idx="14">
                  <c:v>1.85</c:v>
                </c:pt>
                <c:pt idx="15">
                  <c:v>1.84</c:v>
                </c:pt>
                <c:pt idx="16">
                  <c:v>1.83</c:v>
                </c:pt>
                <c:pt idx="17">
                  <c:v>1.82</c:v>
                </c:pt>
                <c:pt idx="18">
                  <c:v>1.74</c:v>
                </c:pt>
                <c:pt idx="19">
                  <c:v>1.55</c:v>
                </c:pt>
                <c:pt idx="20">
                  <c:v>1.42</c:v>
                </c:pt>
                <c:pt idx="21">
                  <c:v>1.17</c:v>
                </c:pt>
                <c:pt idx="22">
                  <c:v>0.86</c:v>
                </c:pt>
                <c:pt idx="23">
                  <c:v>0.64</c:v>
                </c:pt>
                <c:pt idx="24">
                  <c:v>0.46</c:v>
                </c:pt>
                <c:pt idx="25">
                  <c:v>0</c:v>
                </c:pt>
              </c:numCache>
            </c:numRef>
          </c:xVal>
          <c:yVal>
            <c:numRef>
              <c:f>'Curvas VI juntas'!$F$4:$F$29</c:f>
              <c:numCache>
                <c:formatCode>General</c:formatCode>
                <c:ptCount val="26"/>
                <c:pt idx="0">
                  <c:v>0</c:v>
                </c:pt>
                <c:pt idx="1">
                  <c:v>4.6</c:v>
                </c:pt>
                <c:pt idx="2">
                  <c:v>6.4</c:v>
                </c:pt>
                <c:pt idx="3">
                  <c:v>7.1</c:v>
                </c:pt>
                <c:pt idx="4">
                  <c:v>7.9</c:v>
                </c:pt>
                <c:pt idx="5">
                  <c:v>9.2</c:v>
                </c:pt>
                <c:pt idx="6">
                  <c:v>10</c:v>
                </c:pt>
                <c:pt idx="7">
                  <c:v>10.6</c:v>
                </c:pt>
                <c:pt idx="8">
                  <c:v>11.3</c:v>
                </c:pt>
                <c:pt idx="9">
                  <c:v>12.2</c:v>
                </c:pt>
                <c:pt idx="10">
                  <c:v>13.3</c:v>
                </c:pt>
                <c:pt idx="11">
                  <c:v>13.9</c:v>
                </c:pt>
                <c:pt idx="12">
                  <c:v>14.6</c:v>
                </c:pt>
                <c:pt idx="13">
                  <c:v>15.2</c:v>
                </c:pt>
                <c:pt idx="14">
                  <c:v>16</c:v>
                </c:pt>
                <c:pt idx="15">
                  <c:v>16.6</c:v>
                </c:pt>
                <c:pt idx="16">
                  <c:v>17.4</c:v>
                </c:pt>
                <c:pt idx="17">
                  <c:v>17.8</c:v>
                </c:pt>
                <c:pt idx="18">
                  <c:v>21.5</c:v>
                </c:pt>
                <c:pt idx="19">
                  <c:v>26.7</c:v>
                </c:pt>
                <c:pt idx="20">
                  <c:v>29</c:v>
                </c:pt>
                <c:pt idx="21">
                  <c:v>30.3</c:v>
                </c:pt>
                <c:pt idx="22">
                  <c:v>31.6</c:v>
                </c:pt>
                <c:pt idx="23">
                  <c:v>31.7</c:v>
                </c:pt>
                <c:pt idx="24">
                  <c:v>31.7</c:v>
                </c:pt>
                <c:pt idx="25">
                  <c:v>31.8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"normal"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rgbClr val="5b9bd5"/>
            </a:solidFill>
            <a:ln cap="rnd" w="12600">
              <a:solidFill>
                <a:srgbClr val="5b9bd5"/>
              </a:solidFill>
              <a:prstDash val="sysDot"/>
              <a:round/>
            </a:ln>
          </c:spPr>
          <c:marker>
            <c:symbol val="square"/>
            <c:size val="3"/>
            <c:spPr>
              <a:solidFill>
                <a:srgbClr val="5b9bd5"/>
              </a:solidFill>
            </c:spPr>
          </c:marker>
          <c:dPt>
            <c:idx val="16"/>
            <c:marker>
              <c:symbol val="square"/>
              <c:size val="3"/>
              <c:spPr>
                <a:solidFill>
                  <a:srgbClr val="5b9bd5"/>
                </a:solidFill>
              </c:spPr>
            </c:marker>
          </c:dPt>
          <c:dLbls>
            <c:dLbl>
              <c:idx val="16"/>
              <c:txPr>
                <a:bodyPr wrap="square"/>
                <a:lstStyle/>
                <a:p>
                  <a:pPr>
                    <a:defRPr b="0" lang="es-ES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lang="es-E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'Curvas VI juntas'!$L$4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plus>
            <c:minus>
              <c:numRef>
                <c:f>'Curvas VI juntas'!$L$4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minus>
            <c:spPr>
              <a:ln w="6480">
                <a:solidFill>
                  <a:srgbClr val="000000"/>
                </a:solidFill>
                <a:round/>
              </a:ln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'Curvas VI juntas'!$K$4</c:f>
                <c:numCache>
                  <c:formatCode>General</c:formatCode>
                  <c:ptCount val="1"/>
                  <c:pt idx="0">
                    <c:v>0.01</c:v>
                  </c:pt>
                </c:numCache>
              </c:numRef>
            </c:plus>
            <c:minus>
              <c:numRef>
                <c:f>'Curvas VI juntas'!$K$4</c:f>
                <c:numCache>
                  <c:formatCode>General</c:formatCode>
                  <c:ptCount val="1"/>
                  <c:pt idx="0">
                    <c:v>0.01</c:v>
                  </c:pt>
                </c:numCache>
              </c:numRef>
            </c:minus>
            <c:spPr>
              <a:ln w="6480">
                <a:solidFill>
                  <a:srgbClr val="000000"/>
                </a:solidFill>
                <a:round/>
              </a:ln>
            </c:spPr>
          </c:errBars>
          <c:xVal>
            <c:numRef>
              <c:f>'Curvas VI juntas'!$A$4:$A$29</c:f>
              <c:numCache>
                <c:formatCode>General</c:formatCode>
                <c:ptCount val="26"/>
                <c:pt idx="0">
                  <c:v>2.17</c:v>
                </c:pt>
                <c:pt idx="1">
                  <c:v>2.13</c:v>
                </c:pt>
                <c:pt idx="2">
                  <c:v>2.11</c:v>
                </c:pt>
                <c:pt idx="3">
                  <c:v>2.1</c:v>
                </c:pt>
                <c:pt idx="4">
                  <c:v>2.09</c:v>
                </c:pt>
                <c:pt idx="5">
                  <c:v>2.08</c:v>
                </c:pt>
                <c:pt idx="6">
                  <c:v>2.07</c:v>
                </c:pt>
                <c:pt idx="7">
                  <c:v>2.05</c:v>
                </c:pt>
                <c:pt idx="8">
                  <c:v>2.04</c:v>
                </c:pt>
                <c:pt idx="9">
                  <c:v>2.02</c:v>
                </c:pt>
                <c:pt idx="10">
                  <c:v>2.01</c:v>
                </c:pt>
                <c:pt idx="11">
                  <c:v>1.98</c:v>
                </c:pt>
                <c:pt idx="12">
                  <c:v>1.96</c:v>
                </c:pt>
                <c:pt idx="13">
                  <c:v>1.9</c:v>
                </c:pt>
                <c:pt idx="14">
                  <c:v>1.85</c:v>
                </c:pt>
                <c:pt idx="15">
                  <c:v>1.75</c:v>
                </c:pt>
                <c:pt idx="16">
                  <c:v>1.46</c:v>
                </c:pt>
                <c:pt idx="17">
                  <c:v>1.08</c:v>
                </c:pt>
                <c:pt idx="18">
                  <c:v>0.77</c:v>
                </c:pt>
                <c:pt idx="19">
                  <c:v>0.4</c:v>
                </c:pt>
                <c:pt idx="20">
                  <c:v>0</c:v>
                </c:pt>
              </c:numCache>
            </c:numRef>
          </c:xVal>
          <c:yVal>
            <c:numRef>
              <c:f>'Curvas VI juntas'!$B$4:$B$29</c:f>
              <c:numCache>
                <c:formatCode>General</c:formatCode>
                <c:ptCount val="26"/>
                <c:pt idx="0">
                  <c:v>0</c:v>
                </c:pt>
                <c:pt idx="1">
                  <c:v>4.9</c:v>
                </c:pt>
                <c:pt idx="2">
                  <c:v>7</c:v>
                </c:pt>
                <c:pt idx="3">
                  <c:v>7.6</c:v>
                </c:pt>
                <c:pt idx="4">
                  <c:v>8.3</c:v>
                </c:pt>
                <c:pt idx="5">
                  <c:v>9.5</c:v>
                </c:pt>
                <c:pt idx="6">
                  <c:v>10.9</c:v>
                </c:pt>
                <c:pt idx="7">
                  <c:v>12.5</c:v>
                </c:pt>
                <c:pt idx="8">
                  <c:v>13.6</c:v>
                </c:pt>
                <c:pt idx="9">
                  <c:v>15.8</c:v>
                </c:pt>
                <c:pt idx="10">
                  <c:v>16.8</c:v>
                </c:pt>
                <c:pt idx="11">
                  <c:v>20.5</c:v>
                </c:pt>
                <c:pt idx="12">
                  <c:v>23.4</c:v>
                </c:pt>
                <c:pt idx="13">
                  <c:v>29.2</c:v>
                </c:pt>
                <c:pt idx="14">
                  <c:v>33.8</c:v>
                </c:pt>
                <c:pt idx="15">
                  <c:v>43.3</c:v>
                </c:pt>
                <c:pt idx="16">
                  <c:v>60.9</c:v>
                </c:pt>
                <c:pt idx="17">
                  <c:v>67.5</c:v>
                </c:pt>
                <c:pt idx="18">
                  <c:v>67.8</c:v>
                </c:pt>
                <c:pt idx="19">
                  <c:v>68</c:v>
                </c:pt>
                <c:pt idx="20">
                  <c:v>67.7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"grados"</c:f>
              <c:strCache>
                <c:ptCount val="1"/>
                <c:pt idx="0">
                  <c:v>grados</c:v>
                </c:pt>
              </c:strCache>
            </c:strRef>
          </c:tx>
          <c:spPr>
            <a:solidFill>
              <a:srgbClr val="7030a0"/>
            </a:solidFill>
            <a:ln cap="rnd" w="12600">
              <a:solidFill>
                <a:srgbClr val="7030a0"/>
              </a:solidFill>
              <a:prstDash val="sysDot"/>
              <a:round/>
            </a:ln>
          </c:spPr>
          <c:marker>
            <c:symbol val="triangle"/>
            <c:size val="3"/>
            <c:spPr>
              <a:solidFill>
                <a:srgbClr val="7030a0"/>
              </a:solidFill>
            </c:spPr>
          </c:marker>
          <c:dPt>
            <c:idx val="21"/>
            <c:marker>
              <c:symbol val="triangle"/>
              <c:size val="3"/>
              <c:spPr>
                <a:solidFill>
                  <a:srgbClr val="7030a0"/>
                </a:solidFill>
              </c:spPr>
            </c:marker>
          </c:dPt>
          <c:dLbls>
            <c:dLbl>
              <c:idx val="21"/>
              <c:txPr>
                <a:bodyPr wrap="square"/>
                <a:lstStyle/>
                <a:p>
                  <a:pPr>
                    <a:defRPr b="0" lang="es-ES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lang="es-E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'Curvas VI juntas'!$L$4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plus>
            <c:minus>
              <c:numRef>
                <c:f>'Curvas VI juntas'!$L$4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minus>
            <c:spPr>
              <a:ln w="6480">
                <a:solidFill>
                  <a:srgbClr val="000000"/>
                </a:solidFill>
                <a:round/>
              </a:ln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'Curvas VI juntas'!$K$4</c:f>
                <c:numCache>
                  <c:formatCode>General</c:formatCode>
                  <c:ptCount val="1"/>
                  <c:pt idx="0">
                    <c:v>0.01</c:v>
                  </c:pt>
                </c:numCache>
              </c:numRef>
            </c:plus>
            <c:minus>
              <c:numRef>
                <c:f>'Curvas VI juntas'!$K$4</c:f>
                <c:numCache>
                  <c:formatCode>General</c:formatCode>
                  <c:ptCount val="1"/>
                  <c:pt idx="0">
                    <c:v>0.01</c:v>
                  </c:pt>
                </c:numCache>
              </c:numRef>
            </c:minus>
            <c:spPr>
              <a:ln w="6480">
                <a:solidFill>
                  <a:srgbClr val="000000"/>
                </a:solidFill>
                <a:round/>
              </a:ln>
            </c:spPr>
          </c:errBars>
          <c:xVal>
            <c:numRef>
              <c:f>'Curvas VI juntas'!$I$4:$I$32</c:f>
              <c:numCache>
                <c:formatCode>General</c:formatCode>
                <c:ptCount val="29"/>
                <c:pt idx="0">
                  <c:v>1.98</c:v>
                </c:pt>
                <c:pt idx="1">
                  <c:v>1.9</c:v>
                </c:pt>
                <c:pt idx="2">
                  <c:v>1.88</c:v>
                </c:pt>
                <c:pt idx="3">
                  <c:v>1.87</c:v>
                </c:pt>
                <c:pt idx="4">
                  <c:v>1.86</c:v>
                </c:pt>
                <c:pt idx="5">
                  <c:v>1.85</c:v>
                </c:pt>
                <c:pt idx="6">
                  <c:v>1.84</c:v>
                </c:pt>
                <c:pt idx="7">
                  <c:v>1.83</c:v>
                </c:pt>
                <c:pt idx="8">
                  <c:v>1.82</c:v>
                </c:pt>
                <c:pt idx="9">
                  <c:v>1.81</c:v>
                </c:pt>
                <c:pt idx="10">
                  <c:v>1.8</c:v>
                </c:pt>
                <c:pt idx="11">
                  <c:v>1.78</c:v>
                </c:pt>
                <c:pt idx="12">
                  <c:v>1.77</c:v>
                </c:pt>
                <c:pt idx="13">
                  <c:v>1.76</c:v>
                </c:pt>
                <c:pt idx="14">
                  <c:v>1.74</c:v>
                </c:pt>
                <c:pt idx="15">
                  <c:v>1.72</c:v>
                </c:pt>
                <c:pt idx="16">
                  <c:v>1.7</c:v>
                </c:pt>
                <c:pt idx="17">
                  <c:v>1.67</c:v>
                </c:pt>
                <c:pt idx="18">
                  <c:v>1.65</c:v>
                </c:pt>
                <c:pt idx="19">
                  <c:v>1.62</c:v>
                </c:pt>
                <c:pt idx="20">
                  <c:v>1.58</c:v>
                </c:pt>
                <c:pt idx="21">
                  <c:v>1.52</c:v>
                </c:pt>
                <c:pt idx="22">
                  <c:v>1.37</c:v>
                </c:pt>
                <c:pt idx="23">
                  <c:v>1.25</c:v>
                </c:pt>
                <c:pt idx="24">
                  <c:v>1.1</c:v>
                </c:pt>
                <c:pt idx="25">
                  <c:v>0.75</c:v>
                </c:pt>
                <c:pt idx="26">
                  <c:v>0.45</c:v>
                </c:pt>
                <c:pt idx="27">
                  <c:v>0.11</c:v>
                </c:pt>
                <c:pt idx="28">
                  <c:v>0</c:v>
                </c:pt>
              </c:numCache>
            </c:numRef>
          </c:xVal>
          <c:yVal>
            <c:numRef>
              <c:f>'Curvas VI juntas'!$J$4:$J$32</c:f>
              <c:numCache>
                <c:formatCode>General</c:formatCode>
                <c:ptCount val="29"/>
                <c:pt idx="0">
                  <c:v>0</c:v>
                </c:pt>
                <c:pt idx="1">
                  <c:v>4.8</c:v>
                </c:pt>
                <c:pt idx="2">
                  <c:v>5.8</c:v>
                </c:pt>
                <c:pt idx="3">
                  <c:v>6.2</c:v>
                </c:pt>
                <c:pt idx="4">
                  <c:v>7</c:v>
                </c:pt>
                <c:pt idx="5">
                  <c:v>7.3</c:v>
                </c:pt>
                <c:pt idx="6">
                  <c:v>8</c:v>
                </c:pt>
                <c:pt idx="7">
                  <c:v>8.3</c:v>
                </c:pt>
                <c:pt idx="8">
                  <c:v>8.5</c:v>
                </c:pt>
                <c:pt idx="9">
                  <c:v>9</c:v>
                </c:pt>
                <c:pt idx="10">
                  <c:v>9.4</c:v>
                </c:pt>
                <c:pt idx="11">
                  <c:v>9.9</c:v>
                </c:pt>
                <c:pt idx="12">
                  <c:v>10.3</c:v>
                </c:pt>
                <c:pt idx="13">
                  <c:v>10.6</c:v>
                </c:pt>
                <c:pt idx="14">
                  <c:v>11</c:v>
                </c:pt>
                <c:pt idx="15">
                  <c:v>11.4</c:v>
                </c:pt>
                <c:pt idx="16">
                  <c:v>11.7</c:v>
                </c:pt>
                <c:pt idx="17">
                  <c:v>12.1</c:v>
                </c:pt>
                <c:pt idx="18">
                  <c:v>12.7</c:v>
                </c:pt>
                <c:pt idx="19">
                  <c:v>13.2</c:v>
                </c:pt>
                <c:pt idx="20">
                  <c:v>13.8</c:v>
                </c:pt>
                <c:pt idx="21">
                  <c:v>14.3</c:v>
                </c:pt>
                <c:pt idx="22">
                  <c:v>15.5</c:v>
                </c:pt>
                <c:pt idx="23">
                  <c:v>16.1</c:v>
                </c:pt>
                <c:pt idx="24">
                  <c:v>16.5</c:v>
                </c:pt>
                <c:pt idx="25">
                  <c:v>16.9</c:v>
                </c:pt>
                <c:pt idx="26">
                  <c:v>17.1</c:v>
                </c:pt>
                <c:pt idx="27">
                  <c:v>17.2</c:v>
                </c:pt>
                <c:pt idx="28">
                  <c:v>17.2</c:v>
                </c:pt>
              </c:numCache>
            </c:numRef>
          </c:yVal>
          <c:smooth val="0"/>
        </c:ser>
        <c:axId val="24865245"/>
        <c:axId val="29633386"/>
      </c:scatterChart>
      <c:valAx>
        <c:axId val="24865245"/>
        <c:scaling>
          <c:orientation val="minMax"/>
          <c:max val="2.2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s-E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s-ES" sz="1000" spc="-1" strike="noStrike">
                    <a:solidFill>
                      <a:srgbClr val="000000"/>
                    </a:solidFill>
                    <a:latin typeface="Calibri"/>
                  </a:rPr>
                  <a:t>V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lang="es-E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9633386"/>
        <c:crosses val="autoZero"/>
        <c:crossBetween val="midCat"/>
      </c:valAx>
      <c:valAx>
        <c:axId val="29633386"/>
        <c:scaling>
          <c:orientation val="minMax"/>
          <c:max val="70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s-E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s-ES" sz="1000" spc="-1" strike="noStrike">
                    <a:solidFill>
                      <a:srgbClr val="000000"/>
                    </a:solidFill>
                    <a:latin typeface="Calibri"/>
                  </a:rPr>
                  <a:t>I (mA)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lang="es-E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865245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cap="rnd" w="12600">
              <a:solidFill>
                <a:srgbClr val="5b9bd5"/>
              </a:solidFill>
              <a:prstDash val="sysDot"/>
              <a:round/>
            </a:ln>
          </c:spPr>
          <c:marker>
            <c:symbol val="circle"/>
            <c:size val="3"/>
            <c:spPr>
              <a:solidFill>
                <a:srgbClr val="5b9bd5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Parámetros!$B$14</c:f>
                <c:numCache>
                  <c:formatCode>General</c:formatCode>
                  <c:ptCount val="1"/>
                  <c:pt idx="0">
                    <c:v>0.01</c:v>
                  </c:pt>
                </c:numCache>
              </c:numRef>
            </c:plus>
            <c:minus>
              <c:numRef>
                <c:f>Parámetros!$B$14</c:f>
                <c:numCache>
                  <c:formatCode>General</c:formatCode>
                  <c:ptCount val="1"/>
                  <c:pt idx="0">
                    <c:v>0.01</c:v>
                  </c:pt>
                </c:numCache>
              </c:numRef>
            </c:minus>
            <c:spPr>
              <a:ln w="9360">
                <a:solidFill>
                  <a:srgbClr val="595959"/>
                </a:solidFill>
                <a:round/>
              </a:ln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Parámetros!$B$13</c:f>
                <c:numCache>
                  <c:formatCode>General</c:formatCode>
                  <c:ptCount val="1"/>
                  <c:pt idx="0">
                    <c:v>0.4</c:v>
                  </c:pt>
                </c:numCache>
              </c:numRef>
            </c:plus>
            <c:minus>
              <c:numRef>
                <c:f>Parámetros!$B$13</c:f>
                <c:numCache>
                  <c:formatCode>General</c:formatCode>
                  <c:ptCount val="1"/>
                  <c:pt idx="0">
                    <c:v>0.4</c:v>
                  </c:pt>
                </c:numCache>
              </c:numRef>
            </c:minus>
            <c:spPr>
              <a:ln w="9360">
                <a:solidFill>
                  <a:srgbClr val="595959"/>
                </a:solidFill>
                <a:round/>
              </a:ln>
            </c:spPr>
          </c:errBars>
          <c:xVal>
            <c:numRef>
              <c:f>Parámetros!$B$2:$B$10</c:f>
              <c:numCache>
                <c:formatCode>General</c:formatCode>
                <c:ptCount val="9"/>
                <c:pt idx="0">
                  <c:v>478.184222124284</c:v>
                </c:pt>
                <c:pt idx="1">
                  <c:v>355.222565006611</c:v>
                </c:pt>
                <c:pt idx="2">
                  <c:v>277.655354781842</c:v>
                </c:pt>
                <c:pt idx="3">
                  <c:v>216.835610401058</c:v>
                </c:pt>
                <c:pt idx="4">
                  <c:v>183.340678713089</c:v>
                </c:pt>
                <c:pt idx="5">
                  <c:v>147.642133098281</c:v>
                </c:pt>
                <c:pt idx="6">
                  <c:v>127.809607756721</c:v>
                </c:pt>
                <c:pt idx="7">
                  <c:v>109.299250771265</c:v>
                </c:pt>
                <c:pt idx="8">
                  <c:v>93.5988171449495</c:v>
                </c:pt>
              </c:numCache>
            </c:numRef>
          </c:xVal>
          <c:yVal>
            <c:numRef>
              <c:f>Parámetros!$C$2:$C$10</c:f>
              <c:numCache>
                <c:formatCode>General</c:formatCode>
                <c:ptCount val="9"/>
                <c:pt idx="0">
                  <c:v>2.19</c:v>
                </c:pt>
                <c:pt idx="1">
                  <c:v>2.16</c:v>
                </c:pt>
                <c:pt idx="2">
                  <c:v>2.13</c:v>
                </c:pt>
                <c:pt idx="3">
                  <c:v>2.1</c:v>
                </c:pt>
                <c:pt idx="4">
                  <c:v>2.08</c:v>
                </c:pt>
                <c:pt idx="5">
                  <c:v>2.05</c:v>
                </c:pt>
                <c:pt idx="6">
                  <c:v>2.03</c:v>
                </c:pt>
                <c:pt idx="7">
                  <c:v>2.01</c:v>
                </c:pt>
                <c:pt idx="8">
                  <c:v>1.99</c:v>
                </c:pt>
              </c:numCache>
            </c:numRef>
          </c:yVal>
          <c:smooth val="0"/>
        </c:ser>
        <c:axId val="86954915"/>
        <c:axId val="52982598"/>
      </c:scatterChart>
      <c:valAx>
        <c:axId val="86954915"/>
        <c:scaling>
          <c:orientation val="minMax"/>
          <c:min val="50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s-ES" sz="12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es-ES" sz="1200" spc="-1" strike="noStrike">
                    <a:solidFill>
                      <a:srgbClr val="595959"/>
                    </a:solidFill>
                    <a:latin typeface="Calibri"/>
                  </a:rPr>
                  <a:t>J (W/m2)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lang="es-E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2982598"/>
        <c:crosses val="autoZero"/>
        <c:crossBetween val="midCat"/>
      </c:valAx>
      <c:valAx>
        <c:axId val="52982598"/>
        <c:scaling>
          <c:orientation val="minMax"/>
          <c:max val="2.2"/>
          <c:min val="1.95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s-ES" sz="12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es-ES" sz="1200" spc="-1" strike="noStrike">
                    <a:solidFill>
                      <a:srgbClr val="595959"/>
                    </a:solidFill>
                    <a:latin typeface="Calibri"/>
                  </a:rPr>
                  <a:t>VOC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lang="es-E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6954915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2600">
              <a:noFill/>
            </a:ln>
          </c:spPr>
          <c:marker>
            <c:symbol val="circle"/>
            <c:size val="3"/>
            <c:spPr>
              <a:solidFill>
                <a:srgbClr val="5b9bd5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errBars>
            <c:errDir val="y"/>
            <c:errBarType val="both"/>
            <c:errValType val="cust"/>
            <c:noEndCap val="0"/>
            <c:plus>
              <c:numRef>
                <c:f>Parámetros!$B$15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plus>
            <c:minus>
              <c:numRef>
                <c:f>Parámetros!$B$15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minus>
            <c:spPr>
              <a:ln w="9360">
                <a:solidFill>
                  <a:srgbClr val="595959"/>
                </a:solidFill>
                <a:round/>
              </a:ln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Parámetros!$B$13</c:f>
                <c:numCache>
                  <c:formatCode>General</c:formatCode>
                  <c:ptCount val="1"/>
                  <c:pt idx="0">
                    <c:v>0.4</c:v>
                  </c:pt>
                </c:numCache>
              </c:numRef>
            </c:plus>
            <c:minus>
              <c:numRef>
                <c:f>Parámetros!$B$13</c:f>
                <c:numCache>
                  <c:formatCode>General</c:formatCode>
                  <c:ptCount val="1"/>
                  <c:pt idx="0">
                    <c:v>0.4</c:v>
                  </c:pt>
                </c:numCache>
              </c:numRef>
            </c:minus>
            <c:spPr>
              <a:ln w="9360">
                <a:solidFill>
                  <a:srgbClr val="595959"/>
                </a:solidFill>
                <a:round/>
              </a:ln>
            </c:spPr>
          </c:errBars>
          <c:xVal>
            <c:numRef>
              <c:f>Parámetros!$B$2:$B$10</c:f>
              <c:numCache>
                <c:formatCode>General</c:formatCode>
                <c:ptCount val="9"/>
                <c:pt idx="0">
                  <c:v>478.184222124284</c:v>
                </c:pt>
                <c:pt idx="1">
                  <c:v>355.222565006611</c:v>
                </c:pt>
                <c:pt idx="2">
                  <c:v>277.655354781842</c:v>
                </c:pt>
                <c:pt idx="3">
                  <c:v>216.835610401058</c:v>
                </c:pt>
                <c:pt idx="4">
                  <c:v>183.340678713089</c:v>
                </c:pt>
                <c:pt idx="5">
                  <c:v>147.642133098281</c:v>
                </c:pt>
                <c:pt idx="6">
                  <c:v>127.809607756721</c:v>
                </c:pt>
                <c:pt idx="7">
                  <c:v>109.299250771265</c:v>
                </c:pt>
                <c:pt idx="8">
                  <c:v>93.5988171449495</c:v>
                </c:pt>
              </c:numCache>
            </c:numRef>
          </c:xVal>
          <c:yVal>
            <c:numRef>
              <c:f>Parámetros!$D$2:$D$10</c:f>
              <c:numCache>
                <c:formatCode>General</c:formatCode>
                <c:ptCount val="9"/>
                <c:pt idx="0">
                  <c:v>66</c:v>
                </c:pt>
                <c:pt idx="1">
                  <c:v>52.1</c:v>
                </c:pt>
                <c:pt idx="2">
                  <c:v>41.6</c:v>
                </c:pt>
                <c:pt idx="3">
                  <c:v>34.6</c:v>
                </c:pt>
                <c:pt idx="4">
                  <c:v>29.1</c:v>
                </c:pt>
                <c:pt idx="5">
                  <c:v>25</c:v>
                </c:pt>
                <c:pt idx="6">
                  <c:v>21.6</c:v>
                </c:pt>
                <c:pt idx="7">
                  <c:v>19.1</c:v>
                </c:pt>
                <c:pt idx="8">
                  <c:v>17.1</c:v>
                </c:pt>
              </c:numCache>
            </c:numRef>
          </c:yVal>
          <c:smooth val="0"/>
        </c:ser>
        <c:axId val="73108163"/>
        <c:axId val="65223315"/>
      </c:scatterChart>
      <c:valAx>
        <c:axId val="73108163"/>
        <c:scaling>
          <c:orientation val="minMax"/>
          <c:min val="50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s-ES" sz="12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es-ES" sz="1200" spc="-1" strike="noStrike">
                    <a:solidFill>
                      <a:srgbClr val="595959"/>
                    </a:solidFill>
                    <a:latin typeface="Calibri"/>
                  </a:rPr>
                  <a:t>J (W/m2)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lang="es-E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5223315"/>
        <c:crosses val="autoZero"/>
        <c:crossBetween val="midCat"/>
      </c:valAx>
      <c:valAx>
        <c:axId val="65223315"/>
        <c:scaling>
          <c:orientation val="minMax"/>
          <c:max val="70"/>
          <c:min val="15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s-ES" sz="12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es-ES" sz="1200" spc="-1" strike="noStrike">
                    <a:solidFill>
                      <a:srgbClr val="595959"/>
                    </a:solidFill>
                    <a:latin typeface="Calibri"/>
                  </a:rPr>
                  <a:t>ISC (mA)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lang="es-E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3108163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00b050"/>
            </a:solidFill>
            <a:ln cap="rnd" w="12600">
              <a:solidFill>
                <a:srgbClr val="00b050"/>
              </a:solidFill>
              <a:prstDash val="sysDot"/>
              <a:round/>
            </a:ln>
          </c:spPr>
          <c:marker>
            <c:symbol val="circle"/>
            <c:size val="3"/>
            <c:spPr>
              <a:solidFill>
                <a:srgbClr val="00b050"/>
              </a:solidFill>
            </c:spPr>
          </c:marker>
          <c:dLbls>
            <c:txPr>
              <a:bodyPr wrap="square"/>
              <a:lstStyle/>
              <a:p>
                <a:pPr>
                  <a:defRPr b="0" lang="es-E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'Cristal y T'!$J$4</c:f>
                <c:numCache>
                  <c:formatCode>General</c:formatCode>
                  <c:ptCount val="1"/>
                  <c:pt idx="0">
                    <c:v>0.01</c:v>
                  </c:pt>
                </c:numCache>
              </c:numRef>
            </c:plus>
            <c:minus>
              <c:numRef>
                <c:f>'Cristal y T'!$J$4</c:f>
                <c:numCache>
                  <c:formatCode>General</c:formatCode>
                  <c:ptCount val="1"/>
                  <c:pt idx="0">
                    <c:v>0.01</c:v>
                  </c:pt>
                </c:numCache>
              </c:numRef>
            </c:minus>
            <c:spPr>
              <a:ln w="6480">
                <a:solidFill>
                  <a:srgbClr val="000000"/>
                </a:solidFill>
                <a:round/>
              </a:ln>
            </c:spPr>
          </c:errBars>
          <c:xVal>
            <c:numRef>
              <c:f>'Cristal y T'!$H$4:$H$25</c:f>
              <c:numCache>
                <c:formatCode>General</c:formatCode>
                <c:ptCount val="22"/>
                <c:pt idx="0">
                  <c:v>2.02</c:v>
                </c:pt>
                <c:pt idx="1">
                  <c:v>1.95</c:v>
                </c:pt>
                <c:pt idx="2">
                  <c:v>1.94</c:v>
                </c:pt>
                <c:pt idx="3">
                  <c:v>1.93</c:v>
                </c:pt>
                <c:pt idx="4">
                  <c:v>1.92</c:v>
                </c:pt>
                <c:pt idx="5">
                  <c:v>1.91</c:v>
                </c:pt>
                <c:pt idx="6">
                  <c:v>1.9</c:v>
                </c:pt>
                <c:pt idx="7">
                  <c:v>1.88</c:v>
                </c:pt>
                <c:pt idx="8">
                  <c:v>1.85</c:v>
                </c:pt>
                <c:pt idx="9">
                  <c:v>1.83</c:v>
                </c:pt>
                <c:pt idx="10">
                  <c:v>1.8</c:v>
                </c:pt>
                <c:pt idx="11">
                  <c:v>1.75</c:v>
                </c:pt>
                <c:pt idx="12">
                  <c:v>1.73</c:v>
                </c:pt>
                <c:pt idx="13">
                  <c:v>1.69</c:v>
                </c:pt>
                <c:pt idx="14">
                  <c:v>1.59</c:v>
                </c:pt>
                <c:pt idx="15">
                  <c:v>1.52</c:v>
                </c:pt>
                <c:pt idx="16">
                  <c:v>1.47</c:v>
                </c:pt>
                <c:pt idx="17">
                  <c:v>1.4</c:v>
                </c:pt>
                <c:pt idx="18">
                  <c:v>1.24</c:v>
                </c:pt>
                <c:pt idx="19">
                  <c:v>0.96</c:v>
                </c:pt>
                <c:pt idx="20">
                  <c:v>0.47</c:v>
                </c:pt>
                <c:pt idx="21">
                  <c:v>0</c:v>
                </c:pt>
              </c:numCache>
            </c:numRef>
          </c:xVal>
          <c:yVal>
            <c:numRef>
              <c:f>'Cristal y T'!$I$4:$I$25</c:f>
              <c:numCache>
                <c:formatCode>General</c:formatCode>
                <c:ptCount val="22"/>
                <c:pt idx="0">
                  <c:v>0</c:v>
                </c:pt>
                <c:pt idx="1">
                  <c:v>5</c:v>
                </c:pt>
                <c:pt idx="2">
                  <c:v>6</c:v>
                </c:pt>
                <c:pt idx="3">
                  <c:v>6.4</c:v>
                </c:pt>
                <c:pt idx="4">
                  <c:v>6.9</c:v>
                </c:pt>
                <c:pt idx="5">
                  <c:v>7.6</c:v>
                </c:pt>
                <c:pt idx="6">
                  <c:v>8.1</c:v>
                </c:pt>
                <c:pt idx="7">
                  <c:v>9.4</c:v>
                </c:pt>
                <c:pt idx="8">
                  <c:v>10.7</c:v>
                </c:pt>
                <c:pt idx="9">
                  <c:v>11.9</c:v>
                </c:pt>
                <c:pt idx="10">
                  <c:v>13.2</c:v>
                </c:pt>
                <c:pt idx="11">
                  <c:v>14.8</c:v>
                </c:pt>
                <c:pt idx="12">
                  <c:v>15.5</c:v>
                </c:pt>
                <c:pt idx="13">
                  <c:v>16.6</c:v>
                </c:pt>
                <c:pt idx="14">
                  <c:v>18.8</c:v>
                </c:pt>
                <c:pt idx="15">
                  <c:v>19.6</c:v>
                </c:pt>
                <c:pt idx="16">
                  <c:v>20.1</c:v>
                </c:pt>
                <c:pt idx="17">
                  <c:v>20.6</c:v>
                </c:pt>
                <c:pt idx="18">
                  <c:v>21.4</c:v>
                </c:pt>
                <c:pt idx="19">
                  <c:v>21.9</c:v>
                </c:pt>
                <c:pt idx="20">
                  <c:v>22.1</c:v>
                </c:pt>
                <c:pt idx="21">
                  <c:v>22.2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"normal"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rgbClr val="5b9bd5"/>
            </a:solidFill>
            <a:ln cap="rnd" w="12600">
              <a:solidFill>
                <a:srgbClr val="5b9bd5"/>
              </a:solidFill>
              <a:prstDash val="sysDot"/>
              <a:round/>
            </a:ln>
          </c:spPr>
          <c:marker>
            <c:symbol val="square"/>
            <c:size val="3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lang="es-E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'Cristal y T'!$Q$4</c:f>
                <c:numCache>
                  <c:formatCode>General</c:formatCode>
                  <c:ptCount val="1"/>
                  <c:pt idx="0">
                    <c:v>0.01</c:v>
                  </c:pt>
                </c:numCache>
              </c:numRef>
            </c:plus>
            <c:minus>
              <c:numRef>
                <c:f>'Cristal y T'!$Q$4</c:f>
                <c:numCache>
                  <c:formatCode>General</c:formatCode>
                  <c:ptCount val="1"/>
                  <c:pt idx="0">
                    <c:v>0.01</c:v>
                  </c:pt>
                </c:numCache>
              </c:numRef>
            </c:minus>
            <c:spPr>
              <a:ln w="6480">
                <a:solidFill>
                  <a:srgbClr val="000000"/>
                </a:solidFill>
                <a:round/>
              </a:ln>
            </c:spPr>
          </c:errBars>
          <c:xVal>
            <c:numRef>
              <c:f>'Cristal y T'!$A$4:$A$29</c:f>
              <c:numCache>
                <c:formatCode>General</c:formatCode>
                <c:ptCount val="26"/>
                <c:pt idx="0">
                  <c:v>2.03</c:v>
                </c:pt>
                <c:pt idx="1">
                  <c:v>1.98</c:v>
                </c:pt>
                <c:pt idx="2">
                  <c:v>1.97</c:v>
                </c:pt>
                <c:pt idx="3">
                  <c:v>1.96</c:v>
                </c:pt>
                <c:pt idx="4">
                  <c:v>1.95</c:v>
                </c:pt>
                <c:pt idx="5">
                  <c:v>1.94</c:v>
                </c:pt>
                <c:pt idx="6">
                  <c:v>1.93</c:v>
                </c:pt>
                <c:pt idx="7">
                  <c:v>1.92</c:v>
                </c:pt>
                <c:pt idx="8">
                  <c:v>1.91</c:v>
                </c:pt>
                <c:pt idx="9">
                  <c:v>1.9</c:v>
                </c:pt>
                <c:pt idx="10">
                  <c:v>1.89</c:v>
                </c:pt>
                <c:pt idx="11">
                  <c:v>1.88</c:v>
                </c:pt>
                <c:pt idx="12">
                  <c:v>1.87</c:v>
                </c:pt>
                <c:pt idx="13">
                  <c:v>1.86</c:v>
                </c:pt>
                <c:pt idx="14">
                  <c:v>1.85</c:v>
                </c:pt>
                <c:pt idx="15">
                  <c:v>1.84</c:v>
                </c:pt>
                <c:pt idx="16">
                  <c:v>1.83</c:v>
                </c:pt>
                <c:pt idx="17">
                  <c:v>1.82</c:v>
                </c:pt>
                <c:pt idx="18">
                  <c:v>1.74</c:v>
                </c:pt>
                <c:pt idx="19">
                  <c:v>1.55</c:v>
                </c:pt>
                <c:pt idx="20">
                  <c:v>1.42</c:v>
                </c:pt>
                <c:pt idx="21">
                  <c:v>1.17</c:v>
                </c:pt>
                <c:pt idx="22">
                  <c:v>0.86</c:v>
                </c:pt>
                <c:pt idx="23">
                  <c:v>0.64</c:v>
                </c:pt>
                <c:pt idx="24">
                  <c:v>0.46</c:v>
                </c:pt>
                <c:pt idx="25">
                  <c:v>0</c:v>
                </c:pt>
              </c:numCache>
            </c:numRef>
          </c:xVal>
          <c:yVal>
            <c:numRef>
              <c:f>'Cristal y T'!$B$4:$B$29</c:f>
              <c:numCache>
                <c:formatCode>General</c:formatCode>
                <c:ptCount val="26"/>
                <c:pt idx="0">
                  <c:v>0</c:v>
                </c:pt>
                <c:pt idx="1">
                  <c:v>4.6</c:v>
                </c:pt>
                <c:pt idx="2">
                  <c:v>6.4</c:v>
                </c:pt>
                <c:pt idx="3">
                  <c:v>7.1</c:v>
                </c:pt>
                <c:pt idx="4">
                  <c:v>7.9</c:v>
                </c:pt>
                <c:pt idx="5">
                  <c:v>9.2</c:v>
                </c:pt>
                <c:pt idx="6">
                  <c:v>10</c:v>
                </c:pt>
                <c:pt idx="7">
                  <c:v>10.6</c:v>
                </c:pt>
                <c:pt idx="8">
                  <c:v>11.3</c:v>
                </c:pt>
                <c:pt idx="9">
                  <c:v>12.2</c:v>
                </c:pt>
                <c:pt idx="10">
                  <c:v>13.3</c:v>
                </c:pt>
                <c:pt idx="11">
                  <c:v>13.9</c:v>
                </c:pt>
                <c:pt idx="12">
                  <c:v>14.6</c:v>
                </c:pt>
                <c:pt idx="13">
                  <c:v>15.2</c:v>
                </c:pt>
                <c:pt idx="14">
                  <c:v>16</c:v>
                </c:pt>
                <c:pt idx="15">
                  <c:v>16.6</c:v>
                </c:pt>
                <c:pt idx="16">
                  <c:v>17.4</c:v>
                </c:pt>
                <c:pt idx="17">
                  <c:v>17.8</c:v>
                </c:pt>
                <c:pt idx="18">
                  <c:v>21.5</c:v>
                </c:pt>
                <c:pt idx="19">
                  <c:v>26.7</c:v>
                </c:pt>
                <c:pt idx="20">
                  <c:v>29</c:v>
                </c:pt>
                <c:pt idx="21">
                  <c:v>30.3</c:v>
                </c:pt>
                <c:pt idx="22">
                  <c:v>31.6</c:v>
                </c:pt>
                <c:pt idx="23">
                  <c:v>31.7</c:v>
                </c:pt>
                <c:pt idx="24">
                  <c:v>31.7</c:v>
                </c:pt>
                <c:pt idx="25">
                  <c:v>31.8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"grados"</c:f>
              <c:strCache>
                <c:ptCount val="1"/>
                <c:pt idx="0">
                  <c:v>grados</c:v>
                </c:pt>
              </c:strCache>
            </c:strRef>
          </c:tx>
          <c:spPr>
            <a:solidFill>
              <a:srgbClr val="ff0000"/>
            </a:solidFill>
            <a:ln cap="rnd" w="12600">
              <a:solidFill>
                <a:srgbClr val="ff0000"/>
              </a:solidFill>
              <a:prstDash val="sysDot"/>
              <a:round/>
            </a:ln>
          </c:spPr>
          <c:marker>
            <c:symbol val="triangle"/>
            <c:size val="3"/>
            <c:spPr>
              <a:solidFill>
                <a:srgbClr val="ff0000"/>
              </a:solidFill>
            </c:spPr>
          </c:marker>
          <c:dLbls>
            <c:txPr>
              <a:bodyPr wrap="square"/>
              <a:lstStyle/>
              <a:p>
                <a:pPr>
                  <a:defRPr b="0" lang="es-E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'Cristal y T'!$Q$4</c:f>
                <c:numCache>
                  <c:formatCode>General</c:formatCode>
                  <c:ptCount val="1"/>
                  <c:pt idx="0">
                    <c:v>0.01</c:v>
                  </c:pt>
                </c:numCache>
              </c:numRef>
            </c:plus>
            <c:minus>
              <c:numRef>
                <c:f>'Cristal y T'!$Q$4</c:f>
                <c:numCache>
                  <c:formatCode>General</c:formatCode>
                  <c:ptCount val="1"/>
                  <c:pt idx="0">
                    <c:v>0.01</c:v>
                  </c:pt>
                </c:numCache>
              </c:numRef>
            </c:minus>
            <c:spPr>
              <a:ln w="6480">
                <a:solidFill>
                  <a:srgbClr val="000000"/>
                </a:solidFill>
                <a:round/>
              </a:ln>
            </c:spPr>
          </c:errBars>
          <c:xVal>
            <c:numRef>
              <c:f>'Cristal y T'!$O$4:$O$23</c:f>
              <c:numCache>
                <c:formatCode>General</c:formatCode>
                <c:ptCount val="20"/>
                <c:pt idx="0">
                  <c:v>1.98</c:v>
                </c:pt>
                <c:pt idx="1">
                  <c:v>1.91</c:v>
                </c:pt>
                <c:pt idx="2">
                  <c:v>1.9</c:v>
                </c:pt>
                <c:pt idx="3">
                  <c:v>1.89</c:v>
                </c:pt>
                <c:pt idx="4">
                  <c:v>1.88</c:v>
                </c:pt>
                <c:pt idx="5">
                  <c:v>1.87</c:v>
                </c:pt>
                <c:pt idx="6">
                  <c:v>1.86</c:v>
                </c:pt>
                <c:pt idx="7">
                  <c:v>1.88</c:v>
                </c:pt>
                <c:pt idx="8">
                  <c:v>1.83</c:v>
                </c:pt>
                <c:pt idx="9">
                  <c:v>1.81</c:v>
                </c:pt>
                <c:pt idx="10">
                  <c:v>1.79</c:v>
                </c:pt>
                <c:pt idx="11">
                  <c:v>1.76</c:v>
                </c:pt>
                <c:pt idx="12">
                  <c:v>1.73</c:v>
                </c:pt>
                <c:pt idx="13">
                  <c:v>1.68</c:v>
                </c:pt>
                <c:pt idx="14">
                  <c:v>1.62</c:v>
                </c:pt>
                <c:pt idx="15">
                  <c:v>1.59</c:v>
                </c:pt>
                <c:pt idx="16">
                  <c:v>1.41</c:v>
                </c:pt>
                <c:pt idx="17">
                  <c:v>0.95</c:v>
                </c:pt>
                <c:pt idx="18">
                  <c:v>0.39</c:v>
                </c:pt>
                <c:pt idx="19">
                  <c:v>0</c:v>
                </c:pt>
              </c:numCache>
            </c:numRef>
          </c:xVal>
          <c:yVal>
            <c:numRef>
              <c:f>'Cristal y T'!$P$4:$P$23</c:f>
              <c:numCache>
                <c:formatCode>General</c:formatCode>
                <c:ptCount val="20"/>
                <c:pt idx="0">
                  <c:v>0</c:v>
                </c:pt>
                <c:pt idx="1">
                  <c:v>5.7</c:v>
                </c:pt>
                <c:pt idx="2">
                  <c:v>6</c:v>
                </c:pt>
                <c:pt idx="3">
                  <c:v>6.5</c:v>
                </c:pt>
                <c:pt idx="4">
                  <c:v>7.1</c:v>
                </c:pt>
                <c:pt idx="5">
                  <c:v>7.7</c:v>
                </c:pt>
                <c:pt idx="6">
                  <c:v>8.3</c:v>
                </c:pt>
                <c:pt idx="7">
                  <c:v>9.4</c:v>
                </c:pt>
                <c:pt idx="8">
                  <c:v>10.5</c:v>
                </c:pt>
                <c:pt idx="9">
                  <c:v>11.6</c:v>
                </c:pt>
                <c:pt idx="10">
                  <c:v>13.4</c:v>
                </c:pt>
                <c:pt idx="11">
                  <c:v>14.6</c:v>
                </c:pt>
                <c:pt idx="12">
                  <c:v>15.8</c:v>
                </c:pt>
                <c:pt idx="13">
                  <c:v>18.6</c:v>
                </c:pt>
                <c:pt idx="14">
                  <c:v>21</c:v>
                </c:pt>
                <c:pt idx="15">
                  <c:v>22.7</c:v>
                </c:pt>
                <c:pt idx="16">
                  <c:v>26.3</c:v>
                </c:pt>
                <c:pt idx="17">
                  <c:v>29.1</c:v>
                </c:pt>
                <c:pt idx="18">
                  <c:v>29.4</c:v>
                </c:pt>
                <c:pt idx="19">
                  <c:v>29.5</c:v>
                </c:pt>
              </c:numCache>
            </c:numRef>
          </c:yVal>
          <c:smooth val="0"/>
        </c:ser>
        <c:axId val="2169729"/>
        <c:axId val="95886266"/>
      </c:scatterChart>
      <c:valAx>
        <c:axId val="2169729"/>
        <c:scaling>
          <c:orientation val="minMax"/>
          <c:max val="2.1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s-E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s-ES" sz="1000" spc="-1" strike="noStrike">
                    <a:solidFill>
                      <a:srgbClr val="000000"/>
                    </a:solidFill>
                    <a:latin typeface="Calibri"/>
                  </a:rPr>
                  <a:t>V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lang="es-E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5886266"/>
        <c:crosses val="autoZero"/>
        <c:crossBetween val="midCat"/>
      </c:valAx>
      <c:valAx>
        <c:axId val="95886266"/>
        <c:scaling>
          <c:orientation val="minMax"/>
          <c:max val="32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s-E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s-ES" sz="1000" spc="-1" strike="noStrike">
                    <a:solidFill>
                      <a:srgbClr val="000000"/>
                    </a:solidFill>
                    <a:latin typeface="Calibri"/>
                  </a:rPr>
                  <a:t>I (mA)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lang="es-E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169729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cap="rnd" w="12600">
              <a:solidFill>
                <a:srgbClr val="5b9bd5"/>
              </a:solidFill>
              <a:prstDash val="sysDot"/>
              <a:round/>
            </a:ln>
          </c:spPr>
          <c:marker>
            <c:symbol val="circle"/>
            <c:size val="3"/>
            <c:spPr>
              <a:solidFill>
                <a:srgbClr val="5b9bd5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Sol!$D$4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plus>
            <c:minus>
              <c:numRef>
                <c:f>Sol!$D$4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minus>
            <c:spPr>
              <a:ln w="9360">
                <a:solidFill>
                  <a:srgbClr val="595959"/>
                </a:solidFill>
                <a:round/>
              </a:ln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Sol!$C$4</c:f>
                <c:numCache>
                  <c:formatCode>General</c:formatCode>
                  <c:ptCount val="1"/>
                  <c:pt idx="0">
                    <c:v>0.01</c:v>
                  </c:pt>
                </c:numCache>
              </c:numRef>
            </c:plus>
            <c:minus>
              <c:numRef>
                <c:f>Sol!$C$4</c:f>
                <c:numCache>
                  <c:formatCode>General</c:formatCode>
                  <c:ptCount val="1"/>
                  <c:pt idx="0">
                    <c:v>0.01</c:v>
                  </c:pt>
                </c:numCache>
              </c:numRef>
            </c:minus>
            <c:spPr>
              <a:ln w="9360">
                <a:solidFill>
                  <a:srgbClr val="595959"/>
                </a:solidFill>
                <a:round/>
              </a:ln>
            </c:spPr>
          </c:errBars>
          <c:xVal>
            <c:numRef>
              <c:f>Sol!$A$4:$A$22</c:f>
              <c:numCache>
                <c:formatCode>General</c:formatCode>
                <c:ptCount val="19"/>
                <c:pt idx="0">
                  <c:v>2.31</c:v>
                </c:pt>
                <c:pt idx="1">
                  <c:v>2.31</c:v>
                </c:pt>
                <c:pt idx="2">
                  <c:v>2.3</c:v>
                </c:pt>
                <c:pt idx="3">
                  <c:v>2.3</c:v>
                </c:pt>
                <c:pt idx="4">
                  <c:v>2.29</c:v>
                </c:pt>
                <c:pt idx="5">
                  <c:v>2.28</c:v>
                </c:pt>
                <c:pt idx="6">
                  <c:v>2.27</c:v>
                </c:pt>
                <c:pt idx="7">
                  <c:v>2.25</c:v>
                </c:pt>
                <c:pt idx="8">
                  <c:v>2.23</c:v>
                </c:pt>
                <c:pt idx="9">
                  <c:v>2.21</c:v>
                </c:pt>
                <c:pt idx="10">
                  <c:v>2.2</c:v>
                </c:pt>
                <c:pt idx="11">
                  <c:v>2.17</c:v>
                </c:pt>
                <c:pt idx="12">
                  <c:v>2.07</c:v>
                </c:pt>
                <c:pt idx="13">
                  <c:v>2.02</c:v>
                </c:pt>
                <c:pt idx="14">
                  <c:v>1.89</c:v>
                </c:pt>
                <c:pt idx="15">
                  <c:v>1.73</c:v>
                </c:pt>
                <c:pt idx="16">
                  <c:v>1.49</c:v>
                </c:pt>
                <c:pt idx="17">
                  <c:v>0.5</c:v>
                </c:pt>
                <c:pt idx="18">
                  <c:v>0</c:v>
                </c:pt>
              </c:numCache>
            </c:numRef>
          </c:xVal>
          <c:yVal>
            <c:numRef>
              <c:f>Sol!$B$4:$B$22</c:f>
              <c:numCache>
                <c:formatCode>General</c:formatCode>
                <c:ptCount val="19"/>
                <c:pt idx="0">
                  <c:v>7</c:v>
                </c:pt>
                <c:pt idx="1">
                  <c:v>8.8</c:v>
                </c:pt>
                <c:pt idx="2">
                  <c:v>12.2</c:v>
                </c:pt>
                <c:pt idx="3">
                  <c:v>18.6</c:v>
                </c:pt>
                <c:pt idx="4">
                  <c:v>27</c:v>
                </c:pt>
                <c:pt idx="5">
                  <c:v>47.4</c:v>
                </c:pt>
                <c:pt idx="6">
                  <c:v>72.3</c:v>
                </c:pt>
                <c:pt idx="7">
                  <c:v>92.6</c:v>
                </c:pt>
                <c:pt idx="8">
                  <c:v>125.6</c:v>
                </c:pt>
                <c:pt idx="9">
                  <c:v>151.5</c:v>
                </c:pt>
                <c:pt idx="10">
                  <c:v>160</c:v>
                </c:pt>
                <c:pt idx="11">
                  <c:v>194</c:v>
                </c:pt>
                <c:pt idx="12">
                  <c:v>270</c:v>
                </c:pt>
                <c:pt idx="13">
                  <c:v>300</c:v>
                </c:pt>
                <c:pt idx="14">
                  <c:v>350</c:v>
                </c:pt>
                <c:pt idx="15">
                  <c:v>380</c:v>
                </c:pt>
                <c:pt idx="16">
                  <c:v>390</c:v>
                </c:pt>
                <c:pt idx="17">
                  <c:v>390</c:v>
                </c:pt>
                <c:pt idx="18">
                  <c:v>390</c:v>
                </c:pt>
              </c:numCache>
            </c:numRef>
          </c:yVal>
          <c:smooth val="0"/>
        </c:ser>
        <c:axId val="83689562"/>
        <c:axId val="63148737"/>
      </c:scatterChart>
      <c:valAx>
        <c:axId val="83689562"/>
        <c:scaling>
          <c:orientation val="minMax"/>
          <c:max val="2.4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s-E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s-ES" sz="1000" spc="-1" strike="noStrike">
                    <a:solidFill>
                      <a:srgbClr val="000000"/>
                    </a:solidFill>
                    <a:latin typeface="Calibri"/>
                  </a:rPr>
                  <a:t>V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lang="es-E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3148737"/>
        <c:crosses val="autoZero"/>
        <c:crossBetween val="midCat"/>
      </c:valAx>
      <c:valAx>
        <c:axId val="63148737"/>
        <c:scaling>
          <c:orientation val="minMax"/>
          <c:max val="40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s-E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s-ES" sz="1000" spc="-1" strike="noStrike">
                    <a:solidFill>
                      <a:srgbClr val="000000"/>
                    </a:solidFill>
                    <a:latin typeface="Calibri"/>
                  </a:rPr>
                  <a:t>I (mA)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lang="es-E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3689562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9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27360</xdr:colOff>
      <xdr:row>12</xdr:row>
      <xdr:rowOff>119520</xdr:rowOff>
    </xdr:from>
    <xdr:to>
      <xdr:col>7</xdr:col>
      <xdr:colOff>568800</xdr:colOff>
      <xdr:row>27</xdr:row>
      <xdr:rowOff>99720</xdr:rowOff>
    </xdr:to>
    <xdr:graphicFrame>
      <xdr:nvGraphicFramePr>
        <xdr:cNvPr id="0" name="Gráfico 2"/>
        <xdr:cNvGraphicFramePr/>
      </xdr:nvGraphicFramePr>
      <xdr:xfrm>
        <a:off x="1167120" y="2329200"/>
        <a:ext cx="608364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27360</xdr:colOff>
      <xdr:row>27</xdr:row>
      <xdr:rowOff>130680</xdr:rowOff>
    </xdr:from>
    <xdr:to>
      <xdr:col>7</xdr:col>
      <xdr:colOff>609480</xdr:colOff>
      <xdr:row>41</xdr:row>
      <xdr:rowOff>120600</xdr:rowOff>
    </xdr:to>
    <xdr:graphicFrame>
      <xdr:nvGraphicFramePr>
        <xdr:cNvPr id="1" name="Gráfico 3"/>
        <xdr:cNvGraphicFramePr/>
      </xdr:nvGraphicFramePr>
      <xdr:xfrm>
        <a:off x="1167120" y="5102640"/>
        <a:ext cx="6124320" cy="2568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332640</xdr:colOff>
      <xdr:row>6</xdr:row>
      <xdr:rowOff>43200</xdr:rowOff>
    </xdr:from>
    <xdr:to>
      <xdr:col>19</xdr:col>
      <xdr:colOff>331560</xdr:colOff>
      <xdr:row>20</xdr:row>
      <xdr:rowOff>68400</xdr:rowOff>
    </xdr:to>
    <xdr:graphicFrame>
      <xdr:nvGraphicFramePr>
        <xdr:cNvPr id="2" name="Chart 2"/>
        <xdr:cNvGraphicFramePr/>
      </xdr:nvGraphicFramePr>
      <xdr:xfrm>
        <a:off x="9826560" y="1130400"/>
        <a:ext cx="5695560" cy="2576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16</xdr:col>
      <xdr:colOff>693720</xdr:colOff>
      <xdr:row>8</xdr:row>
      <xdr:rowOff>47520</xdr:rowOff>
    </xdr:from>
    <xdr:to>
      <xdr:col>19</xdr:col>
      <xdr:colOff>59040</xdr:colOff>
      <xdr:row>9</xdr:row>
      <xdr:rowOff>124560</xdr:rowOff>
    </xdr:to>
    <xdr:sp>
      <xdr:nvSpPr>
        <xdr:cNvPr id="3" name="Cuadro de texto 4"/>
        <xdr:cNvSpPr/>
      </xdr:nvSpPr>
      <xdr:spPr>
        <a:xfrm>
          <a:off x="13605840" y="1485000"/>
          <a:ext cx="1643760" cy="252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s-ES" sz="1100" spc="-1" strike="noStrike">
              <a:solidFill>
                <a:srgbClr val="ff0000"/>
              </a:solidFill>
              <a:latin typeface="Calibri"/>
            </a:rPr>
            <a:t>P</a:t>
          </a:r>
          <a:r>
            <a:rPr b="0" lang="es-ES" sz="900" spc="-1" strike="noStrike">
              <a:solidFill>
                <a:srgbClr val="ff0000"/>
              </a:solidFill>
              <a:latin typeface="Calibri"/>
            </a:rPr>
            <a:t>max </a:t>
          </a:r>
          <a:r>
            <a:rPr b="0" lang="es-ES" sz="1100" spc="-1" strike="noStrike">
              <a:solidFill>
                <a:srgbClr val="ff0000"/>
              </a:solidFill>
              <a:latin typeface="Calibri"/>
            </a:rPr>
            <a:t>= 88,9</a:t>
          </a:r>
          <a:r>
            <a:rPr b="0" lang="en-US" sz="1100" spc="-1" strike="noStrike">
              <a:solidFill>
                <a:srgbClr val="ff0000"/>
              </a:solidFill>
              <a:latin typeface="Cambria Math"/>
            </a:rPr>
            <a:t>±</a:t>
          </a:r>
          <a:r>
            <a:rPr b="0" lang="es-ES" sz="1100" spc="-1" strike="noStrike">
              <a:solidFill>
                <a:srgbClr val="ff0000"/>
              </a:solidFill>
              <a:latin typeface="Calibri"/>
            </a:rPr>
            <a:t>0,8 mW</a:t>
          </a:r>
          <a:endParaRPr b="0" lang="es-E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12</xdr:col>
      <xdr:colOff>967680</xdr:colOff>
      <xdr:row>9</xdr:row>
      <xdr:rowOff>71280</xdr:rowOff>
    </xdr:from>
    <xdr:to>
      <xdr:col>14</xdr:col>
      <xdr:colOff>414000</xdr:colOff>
      <xdr:row>10</xdr:row>
      <xdr:rowOff>139320</xdr:rowOff>
    </xdr:to>
    <xdr:sp>
      <xdr:nvSpPr>
        <xdr:cNvPr id="4" name="Cuadro de texto 5"/>
        <xdr:cNvSpPr/>
      </xdr:nvSpPr>
      <xdr:spPr>
        <a:xfrm>
          <a:off x="10461600" y="1684080"/>
          <a:ext cx="1345680" cy="252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s-ES" sz="1100" spc="-1" strike="noStrike">
              <a:solidFill>
                <a:srgbClr val="00b050"/>
              </a:solidFill>
              <a:latin typeface="Calibri"/>
            </a:rPr>
            <a:t>I</a:t>
          </a:r>
          <a:r>
            <a:rPr b="0" lang="es-ES" sz="700" spc="-1" strike="noStrike">
              <a:solidFill>
                <a:srgbClr val="00b050"/>
              </a:solidFill>
              <a:latin typeface="Calibri"/>
            </a:rPr>
            <a:t>SC</a:t>
          </a:r>
          <a:r>
            <a:rPr b="0" lang="es-ES" sz="1100" spc="-1" strike="noStrike">
              <a:solidFill>
                <a:srgbClr val="00b050"/>
              </a:solidFill>
              <a:latin typeface="Calibri"/>
            </a:rPr>
            <a:t>=67,7</a:t>
          </a:r>
          <a:r>
            <a:rPr b="0" lang="en-US" sz="1100" spc="-1" strike="noStrike">
              <a:solidFill>
                <a:srgbClr val="00b050"/>
              </a:solidFill>
              <a:latin typeface="Cambria Math"/>
            </a:rPr>
            <a:t>±</a:t>
          </a:r>
          <a:r>
            <a:rPr b="0" lang="es-ES" sz="1100" spc="-1" strike="noStrike">
              <a:solidFill>
                <a:srgbClr val="00b050"/>
              </a:solidFill>
              <a:latin typeface="Calibri"/>
            </a:rPr>
            <a:t>0,1 mA</a:t>
          </a:r>
          <a:endParaRPr b="0" lang="es-E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16</xdr:col>
      <xdr:colOff>601920</xdr:colOff>
      <xdr:row>16</xdr:row>
      <xdr:rowOff>99000</xdr:rowOff>
    </xdr:from>
    <xdr:to>
      <xdr:col>18</xdr:col>
      <xdr:colOff>449640</xdr:colOff>
      <xdr:row>17</xdr:row>
      <xdr:rowOff>167040</xdr:rowOff>
    </xdr:to>
    <xdr:sp>
      <xdr:nvSpPr>
        <xdr:cNvPr id="5" name="Cuadro de texto 6"/>
        <xdr:cNvSpPr/>
      </xdr:nvSpPr>
      <xdr:spPr>
        <a:xfrm>
          <a:off x="13514040" y="3000960"/>
          <a:ext cx="1366560" cy="252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s-ES" sz="1100" spc="-1" strike="noStrike">
              <a:solidFill>
                <a:srgbClr val="00b050"/>
              </a:solidFill>
              <a:latin typeface="Calibri"/>
            </a:rPr>
            <a:t>V</a:t>
          </a:r>
          <a:r>
            <a:rPr b="0" lang="es-ES" sz="700" spc="-1" strike="noStrike">
              <a:solidFill>
                <a:srgbClr val="00b050"/>
              </a:solidFill>
              <a:latin typeface="Calibri"/>
            </a:rPr>
            <a:t>OC</a:t>
          </a:r>
          <a:r>
            <a:rPr b="0" lang="es-ES" sz="1100" spc="-1" strike="noStrike">
              <a:solidFill>
                <a:srgbClr val="00b050"/>
              </a:solidFill>
              <a:latin typeface="Calibri"/>
            </a:rPr>
            <a:t>=2,17</a:t>
          </a:r>
          <a:r>
            <a:rPr b="0" lang="en-US" sz="1100" spc="-1" strike="noStrike">
              <a:solidFill>
                <a:srgbClr val="00b050"/>
              </a:solidFill>
              <a:latin typeface="Cambria Math"/>
            </a:rPr>
            <a:t>±</a:t>
          </a:r>
          <a:r>
            <a:rPr b="0" lang="es-ES" sz="1100" spc="-1" strike="noStrike">
              <a:solidFill>
                <a:srgbClr val="00b050"/>
              </a:solidFill>
              <a:latin typeface="Calibri"/>
            </a:rPr>
            <a:t>0,01 V</a:t>
          </a:r>
          <a:endParaRPr b="0" lang="es-E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12</xdr:col>
      <xdr:colOff>551880</xdr:colOff>
      <xdr:row>37</xdr:row>
      <xdr:rowOff>50040</xdr:rowOff>
    </xdr:from>
    <xdr:to>
      <xdr:col>19</xdr:col>
      <xdr:colOff>567360</xdr:colOff>
      <xdr:row>53</xdr:row>
      <xdr:rowOff>86040</xdr:rowOff>
    </xdr:to>
    <xdr:graphicFrame>
      <xdr:nvGraphicFramePr>
        <xdr:cNvPr id="6" name="Chart 5"/>
        <xdr:cNvGraphicFramePr/>
      </xdr:nvGraphicFramePr>
      <xdr:xfrm>
        <a:off x="10045800" y="6801480"/>
        <a:ext cx="5712120" cy="2982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17</xdr:col>
      <xdr:colOff>328680</xdr:colOff>
      <xdr:row>40</xdr:row>
      <xdr:rowOff>128160</xdr:rowOff>
    </xdr:from>
    <xdr:to>
      <xdr:col>19</xdr:col>
      <xdr:colOff>461520</xdr:colOff>
      <xdr:row>42</xdr:row>
      <xdr:rowOff>12240</xdr:rowOff>
    </xdr:to>
    <xdr:sp>
      <xdr:nvSpPr>
        <xdr:cNvPr id="7" name="Cuadro de texto 10"/>
        <xdr:cNvSpPr/>
      </xdr:nvSpPr>
      <xdr:spPr>
        <a:xfrm>
          <a:off x="14000400" y="7431840"/>
          <a:ext cx="1651680" cy="252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s-ES" sz="1100" spc="-1" strike="noStrike">
              <a:solidFill>
                <a:srgbClr val="ff0000"/>
              </a:solidFill>
              <a:latin typeface="Calibri"/>
            </a:rPr>
            <a:t>P</a:t>
          </a:r>
          <a:r>
            <a:rPr b="0" lang="es-ES" sz="900" spc="-1" strike="noStrike">
              <a:solidFill>
                <a:srgbClr val="ff0000"/>
              </a:solidFill>
              <a:latin typeface="Calibri"/>
            </a:rPr>
            <a:t>max</a:t>
          </a:r>
          <a:r>
            <a:rPr b="0" lang="es-ES" sz="1100" spc="-1" strike="noStrike">
              <a:solidFill>
                <a:srgbClr val="ff0000"/>
              </a:solidFill>
              <a:latin typeface="Calibri"/>
            </a:rPr>
            <a:t> = 41,4</a:t>
          </a:r>
          <a:r>
            <a:rPr b="0" lang="en-US" sz="1100" spc="-1" strike="noStrike">
              <a:solidFill>
                <a:srgbClr val="ff0000"/>
              </a:solidFill>
              <a:latin typeface="Cambria Math"/>
            </a:rPr>
            <a:t>±</a:t>
          </a:r>
          <a:r>
            <a:rPr b="0" lang="es-ES" sz="1100" spc="-1" strike="noStrike">
              <a:solidFill>
                <a:srgbClr val="ff0000"/>
              </a:solidFill>
              <a:latin typeface="Calibri"/>
            </a:rPr>
            <a:t>0,4 mW</a:t>
          </a:r>
          <a:endParaRPr b="0" lang="es-E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13</xdr:col>
      <xdr:colOff>130680</xdr:colOff>
      <xdr:row>41</xdr:row>
      <xdr:rowOff>56160</xdr:rowOff>
    </xdr:from>
    <xdr:to>
      <xdr:col>14</xdr:col>
      <xdr:colOff>716760</xdr:colOff>
      <xdr:row>42</xdr:row>
      <xdr:rowOff>124560</xdr:rowOff>
    </xdr:to>
    <xdr:sp>
      <xdr:nvSpPr>
        <xdr:cNvPr id="8" name="Cuadro de texto 11"/>
        <xdr:cNvSpPr/>
      </xdr:nvSpPr>
      <xdr:spPr>
        <a:xfrm>
          <a:off x="10764360" y="7544160"/>
          <a:ext cx="1345680" cy="252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s-ES" sz="1100" spc="-1" strike="noStrike">
              <a:solidFill>
                <a:srgbClr val="00b050"/>
              </a:solidFill>
              <a:latin typeface="Calibri"/>
            </a:rPr>
            <a:t>I</a:t>
          </a:r>
          <a:r>
            <a:rPr b="0" lang="es-ES" sz="700" spc="-1" strike="noStrike">
              <a:solidFill>
                <a:srgbClr val="00b050"/>
              </a:solidFill>
              <a:latin typeface="Calibri"/>
            </a:rPr>
            <a:t>SC</a:t>
          </a:r>
          <a:r>
            <a:rPr b="0" lang="es-ES" sz="1100" spc="-1" strike="noStrike">
              <a:solidFill>
                <a:srgbClr val="00b050"/>
              </a:solidFill>
              <a:latin typeface="Calibri"/>
            </a:rPr>
            <a:t>=31,8</a:t>
          </a:r>
          <a:r>
            <a:rPr b="0" lang="en-US" sz="1100" spc="-1" strike="noStrike">
              <a:solidFill>
                <a:srgbClr val="00b050"/>
              </a:solidFill>
              <a:latin typeface="Cambria Math"/>
            </a:rPr>
            <a:t>±</a:t>
          </a:r>
          <a:r>
            <a:rPr b="0" lang="es-ES" sz="1100" spc="-1" strike="noStrike">
              <a:solidFill>
                <a:srgbClr val="00b050"/>
              </a:solidFill>
              <a:latin typeface="Calibri"/>
            </a:rPr>
            <a:t>0,1 mA</a:t>
          </a:r>
          <a:endParaRPr b="0" lang="es-E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16</xdr:col>
      <xdr:colOff>669960</xdr:colOff>
      <xdr:row>48</xdr:row>
      <xdr:rowOff>117360</xdr:rowOff>
    </xdr:from>
    <xdr:to>
      <xdr:col>18</xdr:col>
      <xdr:colOff>517680</xdr:colOff>
      <xdr:row>50</xdr:row>
      <xdr:rowOff>1080</xdr:rowOff>
    </xdr:to>
    <xdr:sp>
      <xdr:nvSpPr>
        <xdr:cNvPr id="9" name="Cuadro de texto 12"/>
        <xdr:cNvSpPr/>
      </xdr:nvSpPr>
      <xdr:spPr>
        <a:xfrm>
          <a:off x="13582080" y="8894160"/>
          <a:ext cx="1366560" cy="252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s-ES" sz="1100" spc="-1" strike="noStrike">
              <a:solidFill>
                <a:srgbClr val="00b050"/>
              </a:solidFill>
              <a:latin typeface="Calibri"/>
            </a:rPr>
            <a:t>V</a:t>
          </a:r>
          <a:r>
            <a:rPr b="0" lang="es-ES" sz="700" spc="-1" strike="noStrike">
              <a:solidFill>
                <a:srgbClr val="00b050"/>
              </a:solidFill>
              <a:latin typeface="Calibri"/>
            </a:rPr>
            <a:t>OC</a:t>
          </a:r>
          <a:r>
            <a:rPr b="0" lang="es-ES" sz="1100" spc="-1" strike="noStrike">
              <a:solidFill>
                <a:srgbClr val="00b050"/>
              </a:solidFill>
              <a:latin typeface="Calibri"/>
            </a:rPr>
            <a:t>=2,03</a:t>
          </a:r>
          <a:r>
            <a:rPr b="0" lang="en-US" sz="1100" spc="-1" strike="noStrike">
              <a:solidFill>
                <a:srgbClr val="00b050"/>
              </a:solidFill>
              <a:latin typeface="Cambria Math"/>
            </a:rPr>
            <a:t>±</a:t>
          </a:r>
          <a:r>
            <a:rPr b="0" lang="es-ES" sz="1100" spc="-1" strike="noStrike">
              <a:solidFill>
                <a:srgbClr val="00b050"/>
              </a:solidFill>
              <a:latin typeface="Calibri"/>
            </a:rPr>
            <a:t>0,01 V</a:t>
          </a:r>
          <a:endParaRPr b="0" lang="es-E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11</xdr:col>
      <xdr:colOff>291960</xdr:colOff>
      <xdr:row>67</xdr:row>
      <xdr:rowOff>41400</xdr:rowOff>
    </xdr:from>
    <xdr:to>
      <xdr:col>17</xdr:col>
      <xdr:colOff>720000</xdr:colOff>
      <xdr:row>81</xdr:row>
      <xdr:rowOff>160560</xdr:rowOff>
    </xdr:to>
    <xdr:graphicFrame>
      <xdr:nvGraphicFramePr>
        <xdr:cNvPr id="10" name="Chart 6"/>
        <xdr:cNvGraphicFramePr/>
      </xdr:nvGraphicFramePr>
      <xdr:xfrm>
        <a:off x="8646120" y="12308400"/>
        <a:ext cx="5745600" cy="269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15</xdr:col>
      <xdr:colOff>613800</xdr:colOff>
      <xdr:row>69</xdr:row>
      <xdr:rowOff>132120</xdr:rowOff>
    </xdr:from>
    <xdr:to>
      <xdr:col>17</xdr:col>
      <xdr:colOff>746280</xdr:colOff>
      <xdr:row>71</xdr:row>
      <xdr:rowOff>16200</xdr:rowOff>
    </xdr:to>
    <xdr:sp>
      <xdr:nvSpPr>
        <xdr:cNvPr id="11" name="Cuadro de texto 13"/>
        <xdr:cNvSpPr/>
      </xdr:nvSpPr>
      <xdr:spPr>
        <a:xfrm>
          <a:off x="12766320" y="12767400"/>
          <a:ext cx="1651680" cy="252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s-ES" sz="1100" spc="-1" strike="noStrike">
              <a:solidFill>
                <a:srgbClr val="ff0000"/>
              </a:solidFill>
              <a:latin typeface="Calibri"/>
            </a:rPr>
            <a:t>P</a:t>
          </a:r>
          <a:r>
            <a:rPr b="0" lang="es-ES" sz="900" spc="-1" strike="noStrike">
              <a:solidFill>
                <a:srgbClr val="ff0000"/>
              </a:solidFill>
              <a:latin typeface="Calibri"/>
            </a:rPr>
            <a:t>max</a:t>
          </a:r>
          <a:r>
            <a:rPr b="0" lang="es-ES" sz="1100" spc="-1" strike="noStrike">
              <a:solidFill>
                <a:srgbClr val="ff0000"/>
              </a:solidFill>
              <a:latin typeface="Calibri"/>
            </a:rPr>
            <a:t> = 21,8</a:t>
          </a:r>
          <a:r>
            <a:rPr b="0" lang="en-US" sz="1100" spc="-1" strike="noStrike">
              <a:solidFill>
                <a:srgbClr val="ff0000"/>
              </a:solidFill>
              <a:latin typeface="Cambria Math"/>
            </a:rPr>
            <a:t>±</a:t>
          </a:r>
          <a:r>
            <a:rPr b="0" lang="es-ES" sz="1100" spc="-1" strike="noStrike">
              <a:solidFill>
                <a:srgbClr val="ff0000"/>
              </a:solidFill>
              <a:latin typeface="Calibri"/>
            </a:rPr>
            <a:t>0,3 mW</a:t>
          </a:r>
          <a:endParaRPr b="0" lang="es-E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11</xdr:col>
      <xdr:colOff>1042200</xdr:colOff>
      <xdr:row>70</xdr:row>
      <xdr:rowOff>95760</xdr:rowOff>
    </xdr:from>
    <xdr:to>
      <xdr:col>13</xdr:col>
      <xdr:colOff>108000</xdr:colOff>
      <xdr:row>71</xdr:row>
      <xdr:rowOff>163800</xdr:rowOff>
    </xdr:to>
    <xdr:sp>
      <xdr:nvSpPr>
        <xdr:cNvPr id="12" name="Cuadro de texto 14"/>
        <xdr:cNvSpPr/>
      </xdr:nvSpPr>
      <xdr:spPr>
        <a:xfrm>
          <a:off x="9396360" y="12915000"/>
          <a:ext cx="1345320" cy="252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s-ES" sz="1100" spc="-1" strike="noStrike">
              <a:solidFill>
                <a:srgbClr val="00b050"/>
              </a:solidFill>
              <a:latin typeface="Calibri"/>
            </a:rPr>
            <a:t>I</a:t>
          </a:r>
          <a:r>
            <a:rPr b="0" lang="es-ES" sz="700" spc="-1" strike="noStrike">
              <a:solidFill>
                <a:srgbClr val="00b050"/>
              </a:solidFill>
              <a:latin typeface="Calibri"/>
            </a:rPr>
            <a:t>SC</a:t>
          </a:r>
          <a:r>
            <a:rPr b="0" lang="es-ES" sz="1100" spc="-1" strike="noStrike">
              <a:solidFill>
                <a:srgbClr val="00b050"/>
              </a:solidFill>
              <a:latin typeface="Calibri"/>
            </a:rPr>
            <a:t>=17,2</a:t>
          </a:r>
          <a:r>
            <a:rPr b="0" lang="en-US" sz="1100" spc="-1" strike="noStrike">
              <a:solidFill>
                <a:srgbClr val="00b050"/>
              </a:solidFill>
              <a:latin typeface="Cambria Math"/>
            </a:rPr>
            <a:t>±</a:t>
          </a:r>
          <a:r>
            <a:rPr b="0" lang="es-ES" sz="1100" spc="-1" strike="noStrike">
              <a:solidFill>
                <a:srgbClr val="00b050"/>
              </a:solidFill>
              <a:latin typeface="Calibri"/>
            </a:rPr>
            <a:t>0,1 mA</a:t>
          </a:r>
          <a:endParaRPr b="0" lang="es-E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15</xdr:col>
      <xdr:colOff>352440</xdr:colOff>
      <xdr:row>77</xdr:row>
      <xdr:rowOff>20520</xdr:rowOff>
    </xdr:from>
    <xdr:to>
      <xdr:col>17</xdr:col>
      <xdr:colOff>335880</xdr:colOff>
      <xdr:row>78</xdr:row>
      <xdr:rowOff>88560</xdr:rowOff>
    </xdr:to>
    <xdr:sp>
      <xdr:nvSpPr>
        <xdr:cNvPr id="13" name="Cuadro de texto 15"/>
        <xdr:cNvSpPr/>
      </xdr:nvSpPr>
      <xdr:spPr>
        <a:xfrm>
          <a:off x="12504960" y="14128920"/>
          <a:ext cx="1502640" cy="252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s-ES" sz="1100" spc="-1" strike="noStrike">
              <a:solidFill>
                <a:srgbClr val="00b050"/>
              </a:solidFill>
              <a:latin typeface="Calibri"/>
            </a:rPr>
            <a:t>V</a:t>
          </a:r>
          <a:r>
            <a:rPr b="0" lang="es-ES" sz="700" spc="-1" strike="noStrike">
              <a:solidFill>
                <a:srgbClr val="00b050"/>
              </a:solidFill>
              <a:latin typeface="Calibri"/>
            </a:rPr>
            <a:t>OC</a:t>
          </a:r>
          <a:r>
            <a:rPr b="0" lang="es-ES" sz="1100" spc="-1" strike="noStrike">
              <a:solidFill>
                <a:srgbClr val="00b050"/>
              </a:solidFill>
              <a:latin typeface="Calibri"/>
            </a:rPr>
            <a:t>=1,98</a:t>
          </a:r>
          <a:r>
            <a:rPr b="0" lang="en-US" sz="1100" spc="-1" strike="noStrike">
              <a:solidFill>
                <a:srgbClr val="00b050"/>
              </a:solidFill>
              <a:latin typeface="Cambria Math"/>
            </a:rPr>
            <a:t>±</a:t>
          </a:r>
          <a:r>
            <a:rPr b="0" lang="es-ES" sz="1100" spc="-1" strike="noStrike">
              <a:solidFill>
                <a:srgbClr val="00b050"/>
              </a:solidFill>
              <a:latin typeface="Calibri"/>
            </a:rPr>
            <a:t>0,01 mV</a:t>
          </a:r>
          <a:endParaRPr b="0" lang="es-ES" sz="11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563400</xdr:colOff>
      <xdr:row>4</xdr:row>
      <xdr:rowOff>50760</xdr:rowOff>
    </xdr:from>
    <xdr:to>
      <xdr:col>21</xdr:col>
      <xdr:colOff>257400</xdr:colOff>
      <xdr:row>18</xdr:row>
      <xdr:rowOff>125640</xdr:rowOff>
    </xdr:to>
    <xdr:graphicFrame>
      <xdr:nvGraphicFramePr>
        <xdr:cNvPr id="14" name="Chart 1"/>
        <xdr:cNvGraphicFramePr/>
      </xdr:nvGraphicFramePr>
      <xdr:xfrm>
        <a:off x="10841040" y="787320"/>
        <a:ext cx="5769360" cy="265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16</xdr:col>
      <xdr:colOff>172440</xdr:colOff>
      <xdr:row>5</xdr:row>
      <xdr:rowOff>133560</xdr:rowOff>
    </xdr:from>
    <xdr:to>
      <xdr:col>17</xdr:col>
      <xdr:colOff>233640</xdr:colOff>
      <xdr:row>7</xdr:row>
      <xdr:rowOff>17640</xdr:rowOff>
    </xdr:to>
    <xdr:sp>
      <xdr:nvSpPr>
        <xdr:cNvPr id="15" name="Cuadro de texto 2"/>
        <xdr:cNvSpPr/>
      </xdr:nvSpPr>
      <xdr:spPr>
        <a:xfrm>
          <a:off x="12728160" y="1054440"/>
          <a:ext cx="820800" cy="252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1" lang="es-ES" sz="1100" spc="-1" strike="noStrike">
              <a:solidFill>
                <a:srgbClr val="4472c4"/>
              </a:solidFill>
              <a:latin typeface="Calibri"/>
            </a:rPr>
            <a:t>d=70cm</a:t>
          </a:r>
          <a:endParaRPr b="0" lang="es-E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16</xdr:col>
      <xdr:colOff>169920</xdr:colOff>
      <xdr:row>10</xdr:row>
      <xdr:rowOff>181800</xdr:rowOff>
    </xdr:from>
    <xdr:to>
      <xdr:col>17</xdr:col>
      <xdr:colOff>328320</xdr:colOff>
      <xdr:row>12</xdr:row>
      <xdr:rowOff>65880</xdr:rowOff>
    </xdr:to>
    <xdr:sp>
      <xdr:nvSpPr>
        <xdr:cNvPr id="16" name="Cuadro de texto 3"/>
        <xdr:cNvSpPr/>
      </xdr:nvSpPr>
      <xdr:spPr>
        <a:xfrm>
          <a:off x="12725640" y="2023200"/>
          <a:ext cx="918000" cy="252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1" lang="es-ES" sz="1100" spc="-1" strike="noStrike">
              <a:solidFill>
                <a:srgbClr val="002060"/>
              </a:solidFill>
              <a:latin typeface="Calibri"/>
            </a:rPr>
            <a:t>d=110cm</a:t>
          </a:r>
          <a:endParaRPr b="0" lang="es-E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16</xdr:col>
      <xdr:colOff>169920</xdr:colOff>
      <xdr:row>13</xdr:row>
      <xdr:rowOff>72000</xdr:rowOff>
    </xdr:from>
    <xdr:to>
      <xdr:col>17</xdr:col>
      <xdr:colOff>328320</xdr:colOff>
      <xdr:row>14</xdr:row>
      <xdr:rowOff>140400</xdr:rowOff>
    </xdr:to>
    <xdr:sp>
      <xdr:nvSpPr>
        <xdr:cNvPr id="17" name="Cuadro de texto 4"/>
        <xdr:cNvSpPr/>
      </xdr:nvSpPr>
      <xdr:spPr>
        <a:xfrm>
          <a:off x="12725640" y="2466000"/>
          <a:ext cx="918000" cy="252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1" lang="es-ES" sz="1100" spc="-1" strike="noStrike">
              <a:solidFill>
                <a:srgbClr val="7030a0"/>
              </a:solidFill>
              <a:latin typeface="Calibri"/>
            </a:rPr>
            <a:t>d=150cm</a:t>
          </a:r>
          <a:endParaRPr b="0" lang="es-ES" sz="11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210240</xdr:colOff>
      <xdr:row>0</xdr:row>
      <xdr:rowOff>91440</xdr:rowOff>
    </xdr:from>
    <xdr:to>
      <xdr:col>13</xdr:col>
      <xdr:colOff>6480</xdr:colOff>
      <xdr:row>15</xdr:row>
      <xdr:rowOff>71640</xdr:rowOff>
    </xdr:to>
    <xdr:graphicFrame>
      <xdr:nvGraphicFramePr>
        <xdr:cNvPr id="18" name="Gráfico 2"/>
        <xdr:cNvGraphicFramePr/>
      </xdr:nvGraphicFramePr>
      <xdr:xfrm>
        <a:off x="4911840" y="91440"/>
        <a:ext cx="587196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279360</xdr:colOff>
      <xdr:row>1</xdr:row>
      <xdr:rowOff>16920</xdr:rowOff>
    </xdr:from>
    <xdr:to>
      <xdr:col>20</xdr:col>
      <xdr:colOff>672480</xdr:colOff>
      <xdr:row>15</xdr:row>
      <xdr:rowOff>181440</xdr:rowOff>
    </xdr:to>
    <xdr:graphicFrame>
      <xdr:nvGraphicFramePr>
        <xdr:cNvPr id="19" name="Gráfico 3"/>
        <xdr:cNvGraphicFramePr/>
      </xdr:nvGraphicFramePr>
      <xdr:xfrm>
        <a:off x="11056680" y="201240"/>
        <a:ext cx="570924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563400</xdr:colOff>
      <xdr:row>4</xdr:row>
      <xdr:rowOff>50760</xdr:rowOff>
    </xdr:from>
    <xdr:to>
      <xdr:col>29</xdr:col>
      <xdr:colOff>257400</xdr:colOff>
      <xdr:row>18</xdr:row>
      <xdr:rowOff>126000</xdr:rowOff>
    </xdr:to>
    <xdr:graphicFrame>
      <xdr:nvGraphicFramePr>
        <xdr:cNvPr id="20" name="Chart 1"/>
        <xdr:cNvGraphicFramePr/>
      </xdr:nvGraphicFramePr>
      <xdr:xfrm>
        <a:off x="16916400" y="787320"/>
        <a:ext cx="5769720" cy="2653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361800</xdr:colOff>
      <xdr:row>4</xdr:row>
      <xdr:rowOff>135360</xdr:rowOff>
    </xdr:from>
    <xdr:to>
      <xdr:col>14</xdr:col>
      <xdr:colOff>94320</xdr:colOff>
      <xdr:row>19</xdr:row>
      <xdr:rowOff>115560</xdr:rowOff>
    </xdr:to>
    <xdr:graphicFrame>
      <xdr:nvGraphicFramePr>
        <xdr:cNvPr id="21" name="Gráfico 1"/>
        <xdr:cNvGraphicFramePr/>
      </xdr:nvGraphicFramePr>
      <xdr:xfrm>
        <a:off x="6033600" y="871920"/>
        <a:ext cx="589212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1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F7" activeCellId="0" sqref="F7"/>
    </sheetView>
  </sheetViews>
  <sheetFormatPr defaultColWidth="9.16015625" defaultRowHeight="14.5" zeroHeight="false" outlineLevelRow="0" outlineLevelCol="0"/>
  <cols>
    <col collapsed="false" customWidth="true" hidden="false" outlineLevel="0" max="1" min="1" style="0" width="12.82"/>
    <col collapsed="false" customWidth="true" hidden="false" outlineLevel="0" max="6" min="6" style="0" width="11.71"/>
    <col collapsed="false" customWidth="true" hidden="false" outlineLevel="0" max="7" min="7" style="0" width="14"/>
    <col collapsed="false" customWidth="true" hidden="false" outlineLevel="0" max="8" min="8" style="0" width="12.82"/>
    <col collapsed="false" customWidth="true" hidden="false" outlineLevel="0" max="11" min="11" style="0" width="14.63"/>
    <col collapsed="false" customWidth="true" hidden="false" outlineLevel="0" max="12" min="12" style="0" width="13.91"/>
    <col collapsed="false" customWidth="true" hidden="false" outlineLevel="0" max="18" min="18" style="0" width="11.3"/>
    <col collapsed="false" customWidth="true" hidden="false" outlineLevel="0" max="20" min="20" style="0" width="12.82"/>
  </cols>
  <sheetData>
    <row r="1" customFormat="false" ht="14.5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4.5" hidden="false" customHeight="false" outlineLevel="0" collapsed="false">
      <c r="A2" s="0" t="n">
        <f aca="false">0.001*0.01</f>
        <v>1E-005</v>
      </c>
      <c r="C2" s="0" t="n">
        <v>63</v>
      </c>
      <c r="D2" s="0" t="n">
        <v>1.392</v>
      </c>
      <c r="E2" s="0" t="n">
        <f aca="false">D2/100</f>
        <v>0.01392</v>
      </c>
      <c r="F2" s="1" t="n">
        <f aca="false">E2/$A$5</f>
        <v>613.486117232261</v>
      </c>
      <c r="G2" s="0" t="n">
        <f aca="false">LOG(C2)</f>
        <v>1.79934054945358</v>
      </c>
      <c r="H2" s="0" t="n">
        <f aca="false">LOG(F2)</f>
        <v>2.78780473938961</v>
      </c>
      <c r="J2" s="0" t="s">
        <v>7</v>
      </c>
      <c r="K2" s="0" t="n">
        <v>-2.13938756767902</v>
      </c>
      <c r="L2" s="0" t="s">
        <v>8</v>
      </c>
      <c r="Q2" s="0" t="s">
        <v>9</v>
      </c>
      <c r="R2" s="0" t="s">
        <v>10</v>
      </c>
      <c r="S2" s="0" t="s">
        <v>11</v>
      </c>
    </row>
    <row r="3" customFormat="false" ht="14.5" hidden="false" customHeight="false" outlineLevel="0" collapsed="false">
      <c r="C3" s="0" t="n">
        <v>70</v>
      </c>
      <c r="D3" s="0" t="n">
        <v>1.085</v>
      </c>
      <c r="E3" s="0" t="n">
        <f aca="false">D3/100</f>
        <v>0.01085</v>
      </c>
      <c r="F3" s="1" t="n">
        <f aca="false">E3/$A$5</f>
        <v>478.184222124284</v>
      </c>
      <c r="G3" s="0" t="n">
        <f aca="false">LOG(C3)</f>
        <v>1.84509804001426</v>
      </c>
      <c r="H3" s="0" t="n">
        <f aca="false">LOG(F3)</f>
        <v>2.67959524229961</v>
      </c>
      <c r="J3" s="0" t="s">
        <v>12</v>
      </c>
      <c r="K3" s="0" t="n">
        <v>6.62681316163199</v>
      </c>
      <c r="Q3" s="0" t="n">
        <v>70</v>
      </c>
      <c r="R3" s="2" t="n">
        <v>478.184222124284</v>
      </c>
      <c r="S3" s="0" t="n">
        <v>0.4</v>
      </c>
    </row>
    <row r="4" customFormat="false" ht="14.5" hidden="false" customHeight="false" outlineLevel="0" collapsed="false">
      <c r="A4" s="0" t="s">
        <v>13</v>
      </c>
      <c r="C4" s="0" t="n">
        <f aca="false">C3+10</f>
        <v>80</v>
      </c>
      <c r="D4" s="0" t="n">
        <v>0.806</v>
      </c>
      <c r="E4" s="0" t="n">
        <f aca="false">D4/100</f>
        <v>0.00806</v>
      </c>
      <c r="F4" s="1" t="n">
        <f aca="false">E4/$A$5</f>
        <v>355.222565006611</v>
      </c>
      <c r="G4" s="0" t="n">
        <f aca="false">LOG(C4)</f>
        <v>1.90308998699194</v>
      </c>
      <c r="H4" s="0" t="n">
        <f aca="false">LOG(F4)</f>
        <v>2.55050054592015</v>
      </c>
      <c r="J4" s="0" t="s">
        <v>14</v>
      </c>
      <c r="Q4" s="0" t="n">
        <v>110</v>
      </c>
      <c r="R4" s="2" t="n">
        <v>183.3</v>
      </c>
      <c r="S4" s="0" t="n">
        <v>0.4</v>
      </c>
    </row>
    <row r="5" customFormat="false" ht="14.5" hidden="false" customHeight="false" outlineLevel="0" collapsed="false">
      <c r="A5" s="0" t="n">
        <f aca="false">22.69*0.000001</f>
        <v>2.269E-005</v>
      </c>
      <c r="C5" s="0" t="n">
        <f aca="false">C4+10</f>
        <v>90</v>
      </c>
      <c r="D5" s="0" t="n">
        <v>0.63</v>
      </c>
      <c r="E5" s="0" t="n">
        <f aca="false">D5/100</f>
        <v>0.0063</v>
      </c>
      <c r="F5" s="1" t="n">
        <f aca="false">E5/$A$5</f>
        <v>277.655354781842</v>
      </c>
      <c r="G5" s="0" t="n">
        <f aca="false">LOG(C5)</f>
        <v>1.95424250943932</v>
      </c>
      <c r="H5" s="0" t="n">
        <f aca="false">LOG(F5)</f>
        <v>2.44350605356865</v>
      </c>
      <c r="Q5" s="0" t="n">
        <v>150</v>
      </c>
      <c r="R5" s="2" t="n">
        <f aca="false">10^T5</f>
        <v>93.6074847596474</v>
      </c>
      <c r="S5" s="0" t="n">
        <v>0.4</v>
      </c>
      <c r="T5" s="0" t="n">
        <f aca="false">K2*LOG(150)+K3</f>
        <v>1.97131057587328</v>
      </c>
      <c r="U5" s="0" t="s">
        <v>15</v>
      </c>
    </row>
    <row r="6" customFormat="false" ht="14.5" hidden="false" customHeight="false" outlineLevel="0" collapsed="false">
      <c r="C6" s="0" t="n">
        <f aca="false">C5+10</f>
        <v>100</v>
      </c>
      <c r="D6" s="0" t="n">
        <v>0.492</v>
      </c>
      <c r="E6" s="0" t="n">
        <f aca="false">D6/100</f>
        <v>0.00492</v>
      </c>
      <c r="F6" s="1" t="n">
        <f aca="false">E6/$A$5</f>
        <v>216.835610401058</v>
      </c>
      <c r="G6" s="0" t="n">
        <f aca="false">LOG(C6)</f>
        <v>2</v>
      </c>
      <c r="H6" s="0" t="n">
        <f aca="false">LOG(F6)</f>
        <v>2.33613060688242</v>
      </c>
      <c r="T6" s="0" t="s">
        <v>16</v>
      </c>
    </row>
    <row r="7" customFormat="false" ht="14.5" hidden="false" customHeight="false" outlineLevel="0" collapsed="false">
      <c r="A7" s="0" t="s">
        <v>17</v>
      </c>
      <c r="C7" s="0" t="n">
        <f aca="false">C6+10</f>
        <v>110</v>
      </c>
      <c r="D7" s="0" t="n">
        <v>0.416</v>
      </c>
      <c r="E7" s="0" t="n">
        <f aca="false">D7/100</f>
        <v>0.00416</v>
      </c>
      <c r="F7" s="1" t="n">
        <f aca="false">E7/$A$5</f>
        <v>183.340678713089</v>
      </c>
      <c r="G7" s="0" t="n">
        <f aca="false">LOG(C7)</f>
        <v>2.04139268515822</v>
      </c>
      <c r="H7" s="0" t="n">
        <f aca="false">LOG(F7)</f>
        <v>2.26325883474181</v>
      </c>
      <c r="J7" s="0" t="s">
        <v>18</v>
      </c>
      <c r="K7" s="3" t="n">
        <f aca="false" t="array" ref="K7:L11">LINEST(H2:H11,G2:G11,1,1)</f>
        <v>-2.13938756767902</v>
      </c>
      <c r="L7" s="4" t="n">
        <v>6.62681316163203</v>
      </c>
    </row>
    <row r="8" customFormat="false" ht="14.5" hidden="false" customHeight="false" outlineLevel="0" collapsed="false">
      <c r="A8" s="0" t="n">
        <f aca="false">A2/A5</f>
        <v>0.440722785368004</v>
      </c>
      <c r="C8" s="0" t="n">
        <f aca="false">C7+10</f>
        <v>120</v>
      </c>
      <c r="D8" s="0" t="n">
        <v>0.335</v>
      </c>
      <c r="E8" s="0" t="n">
        <f aca="false">D8/100</f>
        <v>0.00335</v>
      </c>
      <c r="F8" s="1" t="n">
        <f aca="false">E8/$A$5</f>
        <v>147.642133098281</v>
      </c>
      <c r="G8" s="0" t="n">
        <f aca="false">LOG(C8)</f>
        <v>2.07918124604762</v>
      </c>
      <c r="H8" s="0" t="n">
        <f aca="false">LOG(F8)</f>
        <v>2.16921031115191</v>
      </c>
      <c r="J8" s="0" t="s">
        <v>19</v>
      </c>
      <c r="K8" s="3" t="n">
        <v>0.020327927102044</v>
      </c>
      <c r="L8" s="4" t="n">
        <v>0.040817769430865</v>
      </c>
    </row>
    <row r="9" customFormat="false" ht="14.5" hidden="false" customHeight="false" outlineLevel="0" collapsed="false">
      <c r="C9" s="0" t="n">
        <f aca="false">C8+10</f>
        <v>130</v>
      </c>
      <c r="D9" s="0" t="n">
        <v>0.29</v>
      </c>
      <c r="E9" s="0" t="n">
        <f aca="false">D9/100</f>
        <v>0.0029</v>
      </c>
      <c r="F9" s="1" t="n">
        <f aca="false">E9/$A$5</f>
        <v>127.809607756721</v>
      </c>
      <c r="G9" s="0" t="n">
        <f aca="false">LOG(C9)</f>
        <v>2.11394335230684</v>
      </c>
      <c r="H9" s="0" t="n">
        <f aca="false">LOG(F9)</f>
        <v>2.10656350201402</v>
      </c>
      <c r="K9" s="0" t="n">
        <v>0.999278255176311</v>
      </c>
      <c r="L9" s="0" t="n">
        <v>0.00771153706333039</v>
      </c>
    </row>
    <row r="10" customFormat="false" ht="14.5" hidden="false" customHeight="false" outlineLevel="0" collapsed="false">
      <c r="A10" s="0" t="s">
        <v>20</v>
      </c>
      <c r="C10" s="0" t="n">
        <f aca="false">C9+10</f>
        <v>140</v>
      </c>
      <c r="D10" s="0" t="n">
        <v>0.248</v>
      </c>
      <c r="E10" s="0" t="n">
        <f aca="false">D10/100</f>
        <v>0.00248</v>
      </c>
      <c r="F10" s="1" t="n">
        <f aca="false">E10/$A$5</f>
        <v>109.299250771265</v>
      </c>
      <c r="G10" s="0" t="n">
        <f aca="false">LOG(C10)</f>
        <v>2.14612803567824</v>
      </c>
      <c r="H10" s="0" t="n">
        <f aca="false">LOG(F10)</f>
        <v>2.03861718494128</v>
      </c>
      <c r="K10" s="0" t="n">
        <v>11076.2499141341</v>
      </c>
      <c r="L10" s="0" t="n">
        <v>8</v>
      </c>
    </row>
    <row r="11" customFormat="false" ht="14.5" hidden="false" customHeight="false" outlineLevel="0" collapsed="false">
      <c r="A11" s="0" t="n">
        <v>0.001</v>
      </c>
      <c r="C11" s="0" t="n">
        <v>145</v>
      </c>
      <c r="D11" s="0" t="n">
        <v>0.233</v>
      </c>
      <c r="E11" s="0" t="n">
        <f aca="false">D11/100</f>
        <v>0.00233</v>
      </c>
      <c r="F11" s="1" t="n">
        <f aca="false">E11/$A$5</f>
        <v>102.688408990745</v>
      </c>
      <c r="G11" s="0" t="n">
        <f aca="false">LOG(C11)</f>
        <v>2.16136800223497</v>
      </c>
      <c r="H11" s="0" t="n">
        <f aca="false">LOG(F11)</f>
        <v>2.01152142514108</v>
      </c>
      <c r="K11" s="0" t="n">
        <v>0.658680257609828</v>
      </c>
      <c r="L11" s="0" t="n">
        <v>0.000475742431032946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96"/>
  <sheetViews>
    <sheetView showFormulas="false" showGridLines="true" showRowColHeaders="true" showZeros="true" rightToLeft="false" tabSelected="false" showOutlineSymbols="true" defaultGridColor="true" view="normal" topLeftCell="Q1" colorId="64" zoomScale="70" zoomScaleNormal="70" zoomScalePageLayoutView="100" workbookViewId="0">
      <selection pane="topLeft" activeCell="AL6" activeCellId="0" sqref="AL6"/>
    </sheetView>
  </sheetViews>
  <sheetFormatPr defaultColWidth="8.54296875" defaultRowHeight="14.5" zeroHeight="false" outlineLevelRow="0" outlineLevelCol="0"/>
  <cols>
    <col collapsed="false" customWidth="true" hidden="false" outlineLevel="0" max="13" min="12" style="0" width="12.82"/>
    <col collapsed="false" customWidth="true" hidden="false" outlineLevel="0" max="24" min="24" style="0" width="8.69"/>
    <col collapsed="false" customWidth="true" hidden="false" outlineLevel="0" max="35" min="34" style="0" width="12.82"/>
    <col collapsed="false" customWidth="true" hidden="false" outlineLevel="0" max="36" min="36" style="0" width="6.91"/>
    <col collapsed="false" customWidth="true" hidden="false" outlineLevel="0" max="37" min="37" style="0" width="8.09"/>
    <col collapsed="false" customWidth="true" hidden="false" outlineLevel="0" max="41" min="41" style="0" width="9.45"/>
  </cols>
  <sheetData>
    <row r="1" customFormat="false" ht="14.5" hidden="false" customHeight="false" outlineLevel="0" collapsed="false">
      <c r="A1" s="0" t="s">
        <v>13</v>
      </c>
    </row>
    <row r="2" customFormat="false" ht="14.5" hidden="false" customHeight="false" outlineLevel="0" collapsed="false">
      <c r="A2" s="0" t="n">
        <f aca="false">22.69*0.000001</f>
        <v>2.269E-005</v>
      </c>
      <c r="V2" s="0" t="s">
        <v>9</v>
      </c>
      <c r="W2" s="0" t="s">
        <v>21</v>
      </c>
      <c r="X2" s="0" t="s">
        <v>22</v>
      </c>
      <c r="Y2" s="0" t="s">
        <v>11</v>
      </c>
      <c r="Z2" s="0" t="s">
        <v>23</v>
      </c>
      <c r="AA2" s="0" t="s">
        <v>24</v>
      </c>
      <c r="AB2" s="0" t="s">
        <v>25</v>
      </c>
      <c r="AC2" s="0" t="s">
        <v>0</v>
      </c>
      <c r="AD2" s="0" t="s">
        <v>26</v>
      </c>
      <c r="AE2" s="0" t="s">
        <v>27</v>
      </c>
      <c r="AF2" s="0" t="s">
        <v>28</v>
      </c>
      <c r="AG2" s="0" t="s">
        <v>29</v>
      </c>
      <c r="AH2" s="0" t="s">
        <v>30</v>
      </c>
      <c r="AI2" s="0" t="s">
        <v>31</v>
      </c>
      <c r="AJ2" s="0" t="s">
        <v>32</v>
      </c>
      <c r="AK2" s="0" t="s">
        <v>33</v>
      </c>
      <c r="AL2" s="0" t="s">
        <v>34</v>
      </c>
      <c r="AM2" s="0" t="s">
        <v>35</v>
      </c>
      <c r="AN2" s="0" t="s">
        <v>36</v>
      </c>
      <c r="AO2" s="0" t="s">
        <v>37</v>
      </c>
    </row>
    <row r="3" customFormat="false" ht="14.5" hidden="false" customHeight="false" outlineLevel="0" collapsed="false">
      <c r="V3" s="0" t="n">
        <v>70</v>
      </c>
      <c r="W3" s="0" t="n">
        <v>0.1</v>
      </c>
      <c r="X3" s="2" t="n">
        <v>478.184222124284</v>
      </c>
      <c r="Y3" s="0" t="n">
        <v>0.4</v>
      </c>
      <c r="Z3" s="0" t="n">
        <v>67.7</v>
      </c>
      <c r="AA3" s="0" t="n">
        <v>0.1</v>
      </c>
      <c r="AB3" s="0" t="n">
        <v>2.17</v>
      </c>
      <c r="AC3" s="0" t="n">
        <v>0.01</v>
      </c>
      <c r="AD3" s="0" t="n">
        <v>88.9</v>
      </c>
      <c r="AE3" s="0" t="n">
        <v>0.8</v>
      </c>
      <c r="AF3" s="0" t="n">
        <v>24</v>
      </c>
      <c r="AG3" s="0" t="n">
        <v>0.2</v>
      </c>
      <c r="AH3" s="4" t="n">
        <f aca="false">AD3/(Z3*AB3)</f>
        <v>0.605136513079526</v>
      </c>
      <c r="AI3" s="4" t="n">
        <f aca="false">AE3/(Z3*AB3)+AD3*AA3/(Z3^2*AB3)+AD3*AC3/(AB3^2*Z3)</f>
        <v>0.00912804554311237</v>
      </c>
      <c r="AJ3" s="4" t="n">
        <f aca="false">X3*50/10000</f>
        <v>2.39092111062142</v>
      </c>
      <c r="AK3" s="0" t="n">
        <f aca="false">Y3*50/10000</f>
        <v>0.002</v>
      </c>
      <c r="AL3" s="5" t="n">
        <f aca="false">(AD3/1000)/AJ3</f>
        <v>0.0371823225806451</v>
      </c>
      <c r="AM3" s="5" t="n">
        <f aca="false">AE3/(1000*AJ3)+(AD3*AK3/(1000*AJ3^2))</f>
        <v>0.000365702005506169</v>
      </c>
      <c r="AN3" s="3" t="n">
        <f aca="false">AL3*100</f>
        <v>3.71823225806451</v>
      </c>
      <c r="AO3" s="3" t="n">
        <f aca="false">AM3*100</f>
        <v>0.0365702005506169</v>
      </c>
    </row>
    <row r="4" customFormat="false" ht="14.5" hidden="false" customHeight="false" outlineLevel="0" collapsed="false">
      <c r="B4" s="0" t="s">
        <v>38</v>
      </c>
      <c r="D4" s="0" t="s">
        <v>19</v>
      </c>
      <c r="E4" s="0" t="n">
        <v>0.1</v>
      </c>
      <c r="G4" s="0" t="s">
        <v>39</v>
      </c>
      <c r="V4" s="0" t="n">
        <v>110</v>
      </c>
      <c r="W4" s="0" t="n">
        <v>0.1</v>
      </c>
      <c r="X4" s="2" t="n">
        <v>183.3</v>
      </c>
      <c r="Y4" s="0" t="n">
        <v>0.4</v>
      </c>
      <c r="Z4" s="0" t="n">
        <v>31.8</v>
      </c>
      <c r="AA4" s="0" t="n">
        <v>0.1</v>
      </c>
      <c r="AB4" s="0" t="n">
        <v>2.03</v>
      </c>
      <c r="AC4" s="0" t="n">
        <v>0.01</v>
      </c>
      <c r="AD4" s="0" t="n">
        <v>41.4</v>
      </c>
      <c r="AE4" s="0" t="n">
        <v>0.4</v>
      </c>
      <c r="AF4" s="0" t="n">
        <v>58.1</v>
      </c>
      <c r="AG4" s="0" t="n">
        <v>0.4</v>
      </c>
      <c r="AH4" s="3" t="n">
        <f aca="false">AD4/(Z4*AB4)</f>
        <v>0.641323543080212</v>
      </c>
      <c r="AI4" s="3" t="n">
        <f aca="false">AE4/(Z4*AB4)+AD4*AA4/(Z4^2*AB4)+AD4*AC4/(AB4^2*Z4)</f>
        <v>0.0113723327128418</v>
      </c>
      <c r="AJ4" s="4" t="n">
        <f aca="false">X4*50/10000</f>
        <v>0.9165</v>
      </c>
      <c r="AK4" s="0" t="n">
        <f aca="false">Y4*50/10000</f>
        <v>0.002</v>
      </c>
      <c r="AL4" s="5" t="n">
        <f aca="false">(AD4/1000)/AJ4</f>
        <v>0.0451718494271686</v>
      </c>
      <c r="AM4" s="5" t="n">
        <f aca="false">AE4/(1000*AJ4)+(AD4*AK4/(1000*AJ4^2))</f>
        <v>0.000535017674691039</v>
      </c>
      <c r="AN4" s="3" t="n">
        <f aca="false">AL4*100</f>
        <v>4.51718494271686</v>
      </c>
      <c r="AO4" s="3" t="n">
        <f aca="false">AM4*100</f>
        <v>0.0535017674691039</v>
      </c>
    </row>
    <row r="5" customFormat="false" ht="13.8" hidden="false" customHeight="false" outlineLevel="0" collapsed="false">
      <c r="E5" s="0" t="n">
        <v>0.01</v>
      </c>
      <c r="G5" s="0" t="s">
        <v>2</v>
      </c>
      <c r="V5" s="0" t="n">
        <v>150</v>
      </c>
      <c r="W5" s="0" t="n">
        <v>0.1</v>
      </c>
      <c r="X5" s="2" t="n">
        <v>93.5988171449495</v>
      </c>
      <c r="Y5" s="0" t="n">
        <v>0.4</v>
      </c>
      <c r="Z5" s="0" t="n">
        <v>17.2</v>
      </c>
      <c r="AA5" s="0" t="n">
        <v>0.1</v>
      </c>
      <c r="AB5" s="0" t="n">
        <v>1.98</v>
      </c>
      <c r="AC5" s="0" t="n">
        <v>0.01</v>
      </c>
      <c r="AD5" s="0" t="n">
        <v>21.8</v>
      </c>
      <c r="AE5" s="0" t="n">
        <v>0.3</v>
      </c>
      <c r="AF5" s="0" t="n">
        <v>114.5</v>
      </c>
      <c r="AG5" s="0" t="n">
        <v>0.7</v>
      </c>
      <c r="AH5" s="3" t="n">
        <f aca="false">AD5/(Z5*AB5)</f>
        <v>0.640122151750059</v>
      </c>
      <c r="AI5" s="3" t="n">
        <f aca="false">AE5/(Z5*AB5)+AD5*AA5/(Z5^2*AB5)+AD5*AC5/(AB5^2*Z5)</f>
        <v>0.0157636010144327</v>
      </c>
      <c r="AJ5" s="4" t="n">
        <f aca="false">X5*50/10000</f>
        <v>0.467994085724747</v>
      </c>
      <c r="AK5" s="0" t="n">
        <f aca="false">Y5*50/10000</f>
        <v>0.002</v>
      </c>
      <c r="AL5" s="5" t="n">
        <f aca="false">(AD5/1000)/AJ5</f>
        <v>0.0465817852510678</v>
      </c>
      <c r="AM5" s="5" t="n">
        <f aca="false">AE5/(1000*AJ5)+(AD5*AK5/(1000*AJ5^2))</f>
        <v>0.00084010371604007</v>
      </c>
      <c r="AN5" s="3" t="n">
        <f aca="false">AL5*100</f>
        <v>4.65817852510678</v>
      </c>
      <c r="AO5" s="3" t="n">
        <f aca="false">AM5*100</f>
        <v>0.084010371604007</v>
      </c>
    </row>
    <row r="6" customFormat="false" ht="13.8" hidden="false" customHeight="false" outlineLevel="0" collapsed="false">
      <c r="E6" s="6" t="s">
        <v>40</v>
      </c>
      <c r="AJ6" s="4"/>
      <c r="AL6" s="5"/>
      <c r="AM6" s="5"/>
      <c r="AN6" s="3"/>
      <c r="AO6" s="3"/>
    </row>
    <row r="7" customFormat="false" ht="13.8" hidden="false" customHeight="false" outlineLevel="0" collapsed="false">
      <c r="C7" s="0" t="s">
        <v>2</v>
      </c>
      <c r="D7" s="0" t="s">
        <v>39</v>
      </c>
      <c r="E7" s="6" t="s">
        <v>41</v>
      </c>
      <c r="F7" s="6" t="s">
        <v>42</v>
      </c>
      <c r="G7" s="6" t="s">
        <v>39</v>
      </c>
      <c r="H7" s="0" t="s">
        <v>0</v>
      </c>
      <c r="I7" s="0" t="s">
        <v>43</v>
      </c>
      <c r="J7" s="0" t="s">
        <v>44</v>
      </c>
      <c r="K7" s="0" t="s">
        <v>27</v>
      </c>
      <c r="L7" s="0" t="s">
        <v>45</v>
      </c>
      <c r="AJ7" s="4"/>
      <c r="AL7" s="5"/>
      <c r="AM7" s="5"/>
      <c r="AN7" s="3"/>
      <c r="AO7" s="3"/>
    </row>
    <row r="8" customFormat="false" ht="13.8" hidden="false" customHeight="false" outlineLevel="0" collapsed="false">
      <c r="C8" s="0" t="n">
        <v>2.17</v>
      </c>
      <c r="D8" s="0" t="n">
        <v>0</v>
      </c>
      <c r="E8" s="6" t="n">
        <f aca="false">C8/100</f>
        <v>0.0217</v>
      </c>
      <c r="F8" s="6" t="n">
        <f aca="false">E8*1000</f>
        <v>21.7</v>
      </c>
      <c r="G8" s="6" t="n">
        <v>0</v>
      </c>
      <c r="H8" s="0" t="n">
        <f aca="false">0.01</f>
        <v>0.01</v>
      </c>
      <c r="I8" s="0" t="n">
        <v>0.1</v>
      </c>
      <c r="J8" s="2" t="n">
        <f aca="false">C8*D8</f>
        <v>0</v>
      </c>
      <c r="K8" s="2" t="n">
        <f aca="false">C8*$I$8+D8*$H$8</f>
        <v>0.217</v>
      </c>
    </row>
    <row r="9" customFormat="false" ht="13.8" hidden="false" customHeight="false" outlineLevel="0" collapsed="false">
      <c r="C9" s="0" t="n">
        <v>2.13</v>
      </c>
      <c r="D9" s="0" t="n">
        <v>4.9</v>
      </c>
      <c r="E9" s="6" t="n">
        <f aca="false">C9/100</f>
        <v>0.0213</v>
      </c>
      <c r="F9" s="6" t="n">
        <f aca="false">E9*1000</f>
        <v>21.3</v>
      </c>
      <c r="G9" s="6" t="n">
        <v>4.9</v>
      </c>
      <c r="J9" s="2" t="n">
        <f aca="false">C9*D9</f>
        <v>10.437</v>
      </c>
      <c r="K9" s="2" t="n">
        <f aca="false">C9*$I$8+D9*$H$8</f>
        <v>0.262</v>
      </c>
    </row>
    <row r="10" customFormat="false" ht="14.5" hidden="false" customHeight="false" outlineLevel="0" collapsed="false">
      <c r="C10" s="0" t="n">
        <v>2.11</v>
      </c>
      <c r="D10" s="0" t="n">
        <v>7</v>
      </c>
      <c r="E10" s="6" t="n">
        <f aca="false">C10/100</f>
        <v>0.0211</v>
      </c>
      <c r="F10" s="6" t="n">
        <f aca="false">E10*1000</f>
        <v>21.1</v>
      </c>
      <c r="G10" s="6" t="n">
        <v>7</v>
      </c>
      <c r="J10" s="2" t="n">
        <f aca="false">C10*D10</f>
        <v>14.77</v>
      </c>
      <c r="K10" s="2" t="n">
        <f aca="false">C10*$I$8+D10*$H$8</f>
        <v>0.281</v>
      </c>
    </row>
    <row r="11" customFormat="false" ht="14.5" hidden="false" customHeight="false" outlineLevel="0" collapsed="false">
      <c r="C11" s="0" t="n">
        <v>2.1</v>
      </c>
      <c r="D11" s="0" t="n">
        <v>7.6</v>
      </c>
      <c r="E11" s="6" t="n">
        <f aca="false">C11/100</f>
        <v>0.021</v>
      </c>
      <c r="F11" s="6" t="n">
        <f aca="false">E11*1000</f>
        <v>21</v>
      </c>
      <c r="G11" s="6" t="n">
        <v>7.6</v>
      </c>
      <c r="J11" s="2" t="n">
        <f aca="false">C11*D11</f>
        <v>15.96</v>
      </c>
      <c r="K11" s="2" t="n">
        <f aca="false">C11*$I$8+D11*$H$8</f>
        <v>0.286</v>
      </c>
    </row>
    <row r="12" customFormat="false" ht="14.5" hidden="false" customHeight="false" outlineLevel="0" collapsed="false">
      <c r="C12" s="0" t="n">
        <v>2.09</v>
      </c>
      <c r="D12" s="0" t="n">
        <v>8.3</v>
      </c>
      <c r="E12" s="6" t="n">
        <f aca="false">C12/100</f>
        <v>0.0209</v>
      </c>
      <c r="F12" s="6" t="n">
        <f aca="false">E12*1000</f>
        <v>20.9</v>
      </c>
      <c r="G12" s="6" t="n">
        <v>8.3</v>
      </c>
      <c r="J12" s="2" t="n">
        <f aca="false">C12*D12</f>
        <v>17.347</v>
      </c>
      <c r="K12" s="2" t="n">
        <f aca="false">C12*$I$8+D12*$H$8</f>
        <v>0.292</v>
      </c>
    </row>
    <row r="13" customFormat="false" ht="14.5" hidden="false" customHeight="false" outlineLevel="0" collapsed="false">
      <c r="C13" s="0" t="n">
        <v>2.08</v>
      </c>
      <c r="D13" s="0" t="n">
        <v>9.5</v>
      </c>
      <c r="E13" s="6" t="n">
        <f aca="false">C13/100</f>
        <v>0.0208</v>
      </c>
      <c r="F13" s="6" t="n">
        <f aca="false">E13*1000</f>
        <v>20.8</v>
      </c>
      <c r="G13" s="6" t="n">
        <v>9.5</v>
      </c>
      <c r="J13" s="2" t="n">
        <f aca="false">C13*D13</f>
        <v>19.76</v>
      </c>
      <c r="K13" s="2" t="n">
        <f aca="false">C13*$I$8+D13*$H$8</f>
        <v>0.303</v>
      </c>
    </row>
    <row r="14" customFormat="false" ht="14.5" hidden="false" customHeight="false" outlineLevel="0" collapsed="false">
      <c r="C14" s="0" t="n">
        <v>2.07</v>
      </c>
      <c r="D14" s="0" t="n">
        <v>10.9</v>
      </c>
      <c r="E14" s="6" t="n">
        <f aca="false">C14/100</f>
        <v>0.0207</v>
      </c>
      <c r="F14" s="6" t="n">
        <f aca="false">E14*1000</f>
        <v>20.7</v>
      </c>
      <c r="G14" s="6" t="n">
        <v>10.9</v>
      </c>
      <c r="J14" s="2" t="n">
        <f aca="false">C14*D14</f>
        <v>22.563</v>
      </c>
      <c r="K14" s="2" t="n">
        <f aca="false">C14*$I$8+D14*$H$8</f>
        <v>0.316</v>
      </c>
    </row>
    <row r="15" customFormat="false" ht="14.5" hidden="false" customHeight="false" outlineLevel="0" collapsed="false">
      <c r="C15" s="0" t="n">
        <v>2.05</v>
      </c>
      <c r="D15" s="0" t="n">
        <v>12.5</v>
      </c>
      <c r="E15" s="6" t="n">
        <f aca="false">C15/100</f>
        <v>0.0205</v>
      </c>
      <c r="F15" s="6" t="n">
        <f aca="false">E15*1000</f>
        <v>20.5</v>
      </c>
      <c r="G15" s="6" t="n">
        <v>12.5</v>
      </c>
      <c r="J15" s="2" t="n">
        <f aca="false">C15*D15</f>
        <v>25.625</v>
      </c>
      <c r="K15" s="2" t="n">
        <f aca="false">C15*$I$8+D15*$H$8</f>
        <v>0.33</v>
      </c>
    </row>
    <row r="16" customFormat="false" ht="14.5" hidden="false" customHeight="false" outlineLevel="0" collapsed="false">
      <c r="C16" s="0" t="n">
        <v>2.04</v>
      </c>
      <c r="D16" s="0" t="n">
        <v>13.6</v>
      </c>
      <c r="E16" s="6" t="n">
        <f aca="false">C16/100</f>
        <v>0.0204</v>
      </c>
      <c r="F16" s="6" t="n">
        <f aca="false">E16*1000</f>
        <v>20.4</v>
      </c>
      <c r="G16" s="6" t="n">
        <v>13.6</v>
      </c>
      <c r="J16" s="2" t="n">
        <f aca="false">C16*D16</f>
        <v>27.744</v>
      </c>
      <c r="K16" s="2" t="n">
        <f aca="false">C16*$I$8+D16*$H$8</f>
        <v>0.34</v>
      </c>
    </row>
    <row r="17" customFormat="false" ht="14.5" hidden="false" customHeight="false" outlineLevel="0" collapsed="false">
      <c r="C17" s="0" t="n">
        <v>2.02</v>
      </c>
      <c r="D17" s="0" t="n">
        <v>15.8</v>
      </c>
      <c r="E17" s="6" t="n">
        <f aca="false">C17/100</f>
        <v>0.0202</v>
      </c>
      <c r="F17" s="6" t="n">
        <f aca="false">E17*1000</f>
        <v>20.2</v>
      </c>
      <c r="G17" s="6" t="n">
        <v>15.8</v>
      </c>
      <c r="J17" s="2" t="n">
        <f aca="false">C17*D17</f>
        <v>31.916</v>
      </c>
      <c r="K17" s="2" t="n">
        <f aca="false">C17*$I$8+D17*$H$8</f>
        <v>0.36</v>
      </c>
    </row>
    <row r="18" customFormat="false" ht="14.5" hidden="false" customHeight="false" outlineLevel="0" collapsed="false">
      <c r="C18" s="0" t="n">
        <v>2.01</v>
      </c>
      <c r="D18" s="0" t="n">
        <v>16.8</v>
      </c>
      <c r="E18" s="6" t="n">
        <f aca="false">C18/100</f>
        <v>0.0201</v>
      </c>
      <c r="F18" s="6" t="n">
        <f aca="false">E18*1000</f>
        <v>20.1</v>
      </c>
      <c r="G18" s="6" t="n">
        <v>16.8</v>
      </c>
      <c r="J18" s="2" t="n">
        <f aca="false">C18*D18</f>
        <v>33.768</v>
      </c>
      <c r="K18" s="2" t="n">
        <f aca="false">C18*$I$8+D18*$H$8</f>
        <v>0.369</v>
      </c>
    </row>
    <row r="19" customFormat="false" ht="14.5" hidden="false" customHeight="false" outlineLevel="0" collapsed="false">
      <c r="C19" s="0" t="n">
        <v>1.98</v>
      </c>
      <c r="D19" s="0" t="n">
        <v>20.5</v>
      </c>
      <c r="E19" s="6" t="n">
        <f aca="false">C19/100</f>
        <v>0.0198</v>
      </c>
      <c r="F19" s="6" t="n">
        <f aca="false">E19*1000</f>
        <v>19.8</v>
      </c>
      <c r="G19" s="6" t="n">
        <v>20.5</v>
      </c>
      <c r="J19" s="2" t="n">
        <f aca="false">C19*D19</f>
        <v>40.59</v>
      </c>
      <c r="K19" s="2" t="n">
        <f aca="false">C19*$I$8+D19*$H$8</f>
        <v>0.403</v>
      </c>
    </row>
    <row r="20" customFormat="false" ht="14.5" hidden="false" customHeight="false" outlineLevel="0" collapsed="false">
      <c r="C20" s="0" t="n">
        <v>1.96</v>
      </c>
      <c r="D20" s="0" t="n">
        <v>23.4</v>
      </c>
      <c r="E20" s="6" t="n">
        <f aca="false">C20/100</f>
        <v>0.0196</v>
      </c>
      <c r="F20" s="6" t="n">
        <f aca="false">E20*1000</f>
        <v>19.6</v>
      </c>
      <c r="G20" s="6" t="n">
        <v>23.4</v>
      </c>
      <c r="J20" s="2" t="n">
        <f aca="false">C20*D20</f>
        <v>45.864</v>
      </c>
      <c r="K20" s="2" t="n">
        <f aca="false">C20*$I$8+D20*$H$8</f>
        <v>0.43</v>
      </c>
    </row>
    <row r="21" customFormat="false" ht="14.5" hidden="false" customHeight="false" outlineLevel="0" collapsed="false">
      <c r="C21" s="0" t="n">
        <v>1.9</v>
      </c>
      <c r="D21" s="0" t="n">
        <v>29.2</v>
      </c>
      <c r="E21" s="6" t="n">
        <f aca="false">C21/100</f>
        <v>0.019</v>
      </c>
      <c r="F21" s="6" t="n">
        <f aca="false">E21*1000</f>
        <v>19</v>
      </c>
      <c r="G21" s="6" t="n">
        <v>29.2</v>
      </c>
      <c r="J21" s="2" t="n">
        <f aca="false">C21*D21</f>
        <v>55.48</v>
      </c>
      <c r="K21" s="2" t="n">
        <f aca="false">C21*$I$8+D21*$H$8</f>
        <v>0.482</v>
      </c>
    </row>
    <row r="22" customFormat="false" ht="14.5" hidden="false" customHeight="false" outlineLevel="0" collapsed="false">
      <c r="C22" s="0" t="n">
        <v>1.85</v>
      </c>
      <c r="D22" s="0" t="n">
        <v>33.8</v>
      </c>
      <c r="E22" s="6" t="n">
        <f aca="false">C22/100</f>
        <v>0.0185</v>
      </c>
      <c r="F22" s="6" t="n">
        <f aca="false">E22*1000</f>
        <v>18.5</v>
      </c>
      <c r="G22" s="6" t="n">
        <v>33.8</v>
      </c>
      <c r="J22" s="2" t="n">
        <f aca="false">C22*D22</f>
        <v>62.53</v>
      </c>
      <c r="K22" s="2" t="n">
        <f aca="false">C22*$I$8+D22*$H$8</f>
        <v>0.523</v>
      </c>
    </row>
    <row r="23" customFormat="false" ht="13.8" hidden="false" customHeight="false" outlineLevel="0" collapsed="false">
      <c r="C23" s="0" t="n">
        <v>1.75</v>
      </c>
      <c r="D23" s="0" t="n">
        <v>43.3</v>
      </c>
      <c r="E23" s="6" t="n">
        <f aca="false">C23/100</f>
        <v>0.0175</v>
      </c>
      <c r="F23" s="6" t="n">
        <f aca="false">E23*1000</f>
        <v>17.5</v>
      </c>
      <c r="G23" s="6" t="n">
        <v>43.3</v>
      </c>
      <c r="J23" s="2" t="n">
        <f aca="false">C23*D23</f>
        <v>75.775</v>
      </c>
      <c r="K23" s="2" t="n">
        <f aca="false">C23*$I$8+D23*$H$8</f>
        <v>0.608</v>
      </c>
    </row>
    <row r="24" customFormat="false" ht="13.8" hidden="false" customHeight="false" outlineLevel="0" collapsed="false">
      <c r="C24" s="0" t="n">
        <v>1.46</v>
      </c>
      <c r="D24" s="0" t="n">
        <v>60.9</v>
      </c>
      <c r="E24" s="6" t="n">
        <f aca="false">C24/100</f>
        <v>0.0146</v>
      </c>
      <c r="F24" s="6" t="n">
        <f aca="false">E24*1000</f>
        <v>14.6</v>
      </c>
      <c r="G24" s="6" t="n">
        <v>60.9</v>
      </c>
      <c r="J24" s="7" t="n">
        <f aca="false">C24*D24</f>
        <v>88.914</v>
      </c>
      <c r="K24" s="2" t="n">
        <f aca="false">C24*$I$8+D24*$H$8</f>
        <v>0.755</v>
      </c>
      <c r="L24" s="0" t="n">
        <f aca="false">1.46/(60.9/1000)</f>
        <v>23.9737274220033</v>
      </c>
      <c r="M24" s="0" t="n">
        <f aca="false">(H8/(D24/1000))+(I8/1000*C24/D24^2)</f>
        <v>0.164203651845201</v>
      </c>
    </row>
    <row r="25" customFormat="false" ht="14.5" hidden="false" customHeight="false" outlineLevel="0" collapsed="false">
      <c r="C25" s="0" t="n">
        <v>1.08</v>
      </c>
      <c r="D25" s="0" t="n">
        <v>67.5</v>
      </c>
      <c r="E25" s="6" t="n">
        <f aca="false">C25/100</f>
        <v>0.0108</v>
      </c>
      <c r="F25" s="6" t="n">
        <f aca="false">E25*1000</f>
        <v>10.8</v>
      </c>
      <c r="G25" s="6" t="n">
        <v>67.5</v>
      </c>
      <c r="J25" s="2" t="n">
        <f aca="false">C25*D25</f>
        <v>72.9</v>
      </c>
      <c r="K25" s="2" t="n">
        <f aca="false">C25*$I$8+D25*$H$8</f>
        <v>0.783</v>
      </c>
      <c r="L25" s="2"/>
      <c r="M25" s="2"/>
      <c r="N25" s="0" t="s">
        <v>46</v>
      </c>
    </row>
    <row r="26" customFormat="false" ht="14.5" hidden="false" customHeight="false" outlineLevel="0" collapsed="false">
      <c r="C26" s="0" t="n">
        <v>0.77</v>
      </c>
      <c r="D26" s="0" t="n">
        <v>67.8</v>
      </c>
      <c r="E26" s="6" t="n">
        <f aca="false">C26/100</f>
        <v>0.0077</v>
      </c>
      <c r="F26" s="6" t="n">
        <f aca="false">E26*1000</f>
        <v>7.7</v>
      </c>
      <c r="G26" s="6" t="n">
        <v>67.8</v>
      </c>
      <c r="J26" s="2" t="n">
        <f aca="false">C26*D26</f>
        <v>52.206</v>
      </c>
      <c r="K26" s="2" t="n">
        <f aca="false">C26*$I$8+D26*$H$8</f>
        <v>0.755</v>
      </c>
    </row>
    <row r="27" customFormat="false" ht="14.5" hidden="false" customHeight="false" outlineLevel="0" collapsed="false">
      <c r="C27" s="0" t="n">
        <v>0.4</v>
      </c>
      <c r="D27" s="0" t="n">
        <v>68</v>
      </c>
      <c r="E27" s="6" t="n">
        <f aca="false">C27/100</f>
        <v>0.004</v>
      </c>
      <c r="F27" s="6" t="n">
        <f aca="false">E27*1000</f>
        <v>4</v>
      </c>
      <c r="G27" s="6" t="n">
        <v>68</v>
      </c>
      <c r="J27" s="2" t="n">
        <f aca="false">C27*D27</f>
        <v>27.2</v>
      </c>
      <c r="K27" s="2" t="n">
        <f aca="false">C27*$I$8+D27*$H$8</f>
        <v>0.72</v>
      </c>
    </row>
    <row r="28" customFormat="false" ht="14.5" hidden="false" customHeight="false" outlineLevel="0" collapsed="false">
      <c r="C28" s="0" t="n">
        <v>0</v>
      </c>
      <c r="D28" s="0" t="n">
        <v>67.7</v>
      </c>
      <c r="E28" s="6" t="n">
        <f aca="false">C28/100</f>
        <v>0</v>
      </c>
      <c r="F28" s="6" t="n">
        <f aca="false">E28*1000</f>
        <v>0</v>
      </c>
      <c r="G28" s="6" t="n">
        <v>67.7</v>
      </c>
      <c r="J28" s="2" t="n">
        <f aca="false">C28*D28</f>
        <v>0</v>
      </c>
      <c r="K28" s="2" t="n">
        <f aca="false">C28*$I$8+D28*$H$8</f>
        <v>0.677</v>
      </c>
    </row>
    <row r="32" customFormat="false" ht="14.5" hidden="false" customHeight="false" outlineLevel="0" collapsed="false">
      <c r="C32" s="0" t="n">
        <v>110</v>
      </c>
      <c r="D32" s="0" t="s">
        <v>47</v>
      </c>
    </row>
    <row r="37" customFormat="false" ht="14.5" hidden="false" customHeight="false" outlineLevel="0" collapsed="false">
      <c r="C37" s="6" t="s">
        <v>2</v>
      </c>
      <c r="D37" s="6" t="s">
        <v>39</v>
      </c>
      <c r="E37" s="6" t="s">
        <v>41</v>
      </c>
      <c r="F37" s="0" t="s">
        <v>48</v>
      </c>
      <c r="G37" s="0" t="s">
        <v>39</v>
      </c>
      <c r="H37" s="0" t="s">
        <v>0</v>
      </c>
      <c r="I37" s="0" t="s">
        <v>43</v>
      </c>
      <c r="J37" s="0" t="s">
        <v>49</v>
      </c>
      <c r="K37" s="0" t="s">
        <v>27</v>
      </c>
    </row>
    <row r="38" customFormat="false" ht="14.5" hidden="false" customHeight="false" outlineLevel="0" collapsed="false">
      <c r="C38" s="6" t="n">
        <v>2.03</v>
      </c>
      <c r="D38" s="6" t="n">
        <v>0</v>
      </c>
      <c r="E38" s="6" t="n">
        <f aca="false">C38/100</f>
        <v>0.0203</v>
      </c>
      <c r="F38" s="0" t="n">
        <v>2.03</v>
      </c>
      <c r="G38" s="0" t="n">
        <v>0</v>
      </c>
      <c r="H38" s="0" t="n">
        <v>0.01</v>
      </c>
      <c r="I38" s="0" t="n">
        <v>0.1</v>
      </c>
      <c r="J38" s="2" t="n">
        <f aca="false">F38*G38</f>
        <v>0</v>
      </c>
      <c r="K38" s="2" t="n">
        <f aca="false">F38*$I$8+G38*$H$8</f>
        <v>0.203</v>
      </c>
    </row>
    <row r="39" customFormat="false" ht="14.5" hidden="false" customHeight="false" outlineLevel="0" collapsed="false">
      <c r="C39" s="6" t="n">
        <v>1.98</v>
      </c>
      <c r="D39" s="6" t="n">
        <v>4.6</v>
      </c>
      <c r="E39" s="6" t="n">
        <f aca="false">C39/100</f>
        <v>0.0198</v>
      </c>
      <c r="F39" s="0" t="n">
        <v>1.98</v>
      </c>
      <c r="G39" s="0" t="n">
        <v>4.6</v>
      </c>
      <c r="J39" s="2" t="n">
        <f aca="false">F39*G39</f>
        <v>9.108</v>
      </c>
      <c r="K39" s="2" t="n">
        <f aca="false">F39*$I$8+G39*$H$8</f>
        <v>0.244</v>
      </c>
    </row>
    <row r="40" customFormat="false" ht="14.5" hidden="false" customHeight="false" outlineLevel="0" collapsed="false">
      <c r="C40" s="6" t="n">
        <v>1.97</v>
      </c>
      <c r="D40" s="6" t="n">
        <v>6.4</v>
      </c>
      <c r="E40" s="6" t="n">
        <f aca="false">C40/100</f>
        <v>0.0197</v>
      </c>
      <c r="F40" s="0" t="n">
        <v>1.97</v>
      </c>
      <c r="G40" s="0" t="n">
        <v>6.4</v>
      </c>
      <c r="J40" s="2" t="n">
        <f aca="false">F40*G40</f>
        <v>12.608</v>
      </c>
      <c r="K40" s="2" t="n">
        <f aca="false">F40*$I$8+G40*$H$8</f>
        <v>0.261</v>
      </c>
    </row>
    <row r="41" customFormat="false" ht="14.5" hidden="false" customHeight="false" outlineLevel="0" collapsed="false">
      <c r="C41" s="6" t="n">
        <v>1.96</v>
      </c>
      <c r="D41" s="6" t="n">
        <v>7.1</v>
      </c>
      <c r="E41" s="6" t="n">
        <f aca="false">C41/100</f>
        <v>0.0196</v>
      </c>
      <c r="F41" s="0" t="n">
        <v>1.96</v>
      </c>
      <c r="G41" s="0" t="n">
        <v>7.1</v>
      </c>
      <c r="J41" s="2" t="n">
        <f aca="false">F41*G41</f>
        <v>13.916</v>
      </c>
      <c r="K41" s="2" t="n">
        <f aca="false">F41*$I$8+G41*$H$8</f>
        <v>0.267</v>
      </c>
    </row>
    <row r="42" customFormat="false" ht="14.5" hidden="false" customHeight="false" outlineLevel="0" collapsed="false">
      <c r="C42" s="6" t="n">
        <v>1.95</v>
      </c>
      <c r="D42" s="6" t="n">
        <v>7.9</v>
      </c>
      <c r="E42" s="6" t="n">
        <f aca="false">C42/100</f>
        <v>0.0195</v>
      </c>
      <c r="F42" s="0" t="n">
        <v>1.95</v>
      </c>
      <c r="G42" s="0" t="n">
        <v>7.9</v>
      </c>
      <c r="J42" s="2" t="n">
        <f aca="false">F42*G42</f>
        <v>15.405</v>
      </c>
      <c r="K42" s="2" t="n">
        <f aca="false">F42*$I$8+G42*$H$8</f>
        <v>0.274</v>
      </c>
    </row>
    <row r="43" customFormat="false" ht="14.5" hidden="false" customHeight="false" outlineLevel="0" collapsed="false">
      <c r="C43" s="6" t="n">
        <v>1.94</v>
      </c>
      <c r="D43" s="6" t="n">
        <v>9.2</v>
      </c>
      <c r="E43" s="6" t="n">
        <f aca="false">C43/100</f>
        <v>0.0194</v>
      </c>
      <c r="F43" s="0" t="n">
        <v>1.94</v>
      </c>
      <c r="G43" s="0" t="n">
        <v>9.2</v>
      </c>
      <c r="J43" s="2" t="n">
        <f aca="false">F43*G43</f>
        <v>17.848</v>
      </c>
      <c r="K43" s="2" t="n">
        <f aca="false">F43*$I$8+G43*$H$8</f>
        <v>0.286</v>
      </c>
    </row>
    <row r="44" customFormat="false" ht="14.5" hidden="false" customHeight="false" outlineLevel="0" collapsed="false">
      <c r="C44" s="6" t="n">
        <v>1.93</v>
      </c>
      <c r="D44" s="6" t="n">
        <v>10</v>
      </c>
      <c r="E44" s="6" t="n">
        <f aca="false">C44/100</f>
        <v>0.0193</v>
      </c>
      <c r="F44" s="0" t="n">
        <v>1.93</v>
      </c>
      <c r="G44" s="0" t="n">
        <v>10</v>
      </c>
      <c r="J44" s="2" t="n">
        <f aca="false">F44*G44</f>
        <v>19.3</v>
      </c>
      <c r="K44" s="2" t="n">
        <f aca="false">F44*$I$8+G44*$H$8</f>
        <v>0.293</v>
      </c>
    </row>
    <row r="45" customFormat="false" ht="14.5" hidden="false" customHeight="false" outlineLevel="0" collapsed="false">
      <c r="C45" s="6" t="n">
        <v>1.92</v>
      </c>
      <c r="D45" s="6" t="n">
        <v>10.6</v>
      </c>
      <c r="E45" s="6" t="n">
        <f aca="false">C45/100</f>
        <v>0.0192</v>
      </c>
      <c r="F45" s="0" t="n">
        <v>1.92</v>
      </c>
      <c r="G45" s="0" t="n">
        <v>10.6</v>
      </c>
      <c r="J45" s="2" t="n">
        <f aca="false">F45*G45</f>
        <v>20.352</v>
      </c>
      <c r="K45" s="2" t="n">
        <f aca="false">F45*$I$8+G45*$H$8</f>
        <v>0.298</v>
      </c>
    </row>
    <row r="46" customFormat="false" ht="14.5" hidden="false" customHeight="false" outlineLevel="0" collapsed="false">
      <c r="C46" s="6" t="n">
        <v>1.91</v>
      </c>
      <c r="D46" s="6" t="n">
        <v>11.3</v>
      </c>
      <c r="E46" s="6" t="n">
        <f aca="false">C46/100</f>
        <v>0.0191</v>
      </c>
      <c r="F46" s="0" t="n">
        <v>1.91</v>
      </c>
      <c r="G46" s="0" t="n">
        <v>11.3</v>
      </c>
      <c r="J46" s="2" t="n">
        <f aca="false">F46*G46</f>
        <v>21.583</v>
      </c>
      <c r="K46" s="2" t="n">
        <f aca="false">F46*$I$8+G46*$H$8</f>
        <v>0.304</v>
      </c>
    </row>
    <row r="47" customFormat="false" ht="14.5" hidden="false" customHeight="false" outlineLevel="0" collapsed="false">
      <c r="C47" s="6" t="n">
        <v>1.9</v>
      </c>
      <c r="D47" s="6" t="n">
        <v>12.2</v>
      </c>
      <c r="E47" s="6" t="n">
        <f aca="false">C47/100</f>
        <v>0.019</v>
      </c>
      <c r="F47" s="0" t="n">
        <v>1.9</v>
      </c>
      <c r="G47" s="0" t="n">
        <v>12.2</v>
      </c>
      <c r="J47" s="2" t="n">
        <f aca="false">F47*G47</f>
        <v>23.18</v>
      </c>
      <c r="K47" s="2" t="n">
        <f aca="false">F47*$I$8+G47*$H$8</f>
        <v>0.312</v>
      </c>
    </row>
    <row r="48" customFormat="false" ht="14.5" hidden="false" customHeight="false" outlineLevel="0" collapsed="false">
      <c r="C48" s="6" t="n">
        <v>1.89</v>
      </c>
      <c r="D48" s="6" t="n">
        <v>13.3</v>
      </c>
      <c r="E48" s="6" t="n">
        <f aca="false">C48/100</f>
        <v>0.0189</v>
      </c>
      <c r="F48" s="0" t="n">
        <v>1.89</v>
      </c>
      <c r="G48" s="0" t="n">
        <v>13.3</v>
      </c>
      <c r="J48" s="2" t="n">
        <f aca="false">F48*G48</f>
        <v>25.137</v>
      </c>
      <c r="K48" s="2" t="n">
        <f aca="false">F48*$I$8+G48*$H$8</f>
        <v>0.322</v>
      </c>
    </row>
    <row r="49" customFormat="false" ht="14.5" hidden="false" customHeight="false" outlineLevel="0" collapsed="false">
      <c r="C49" s="6" t="n">
        <v>1.88</v>
      </c>
      <c r="D49" s="6" t="n">
        <v>13.9</v>
      </c>
      <c r="E49" s="6" t="n">
        <f aca="false">C49/100</f>
        <v>0.0188</v>
      </c>
      <c r="F49" s="0" t="n">
        <v>1.88</v>
      </c>
      <c r="G49" s="0" t="n">
        <v>13.9</v>
      </c>
      <c r="J49" s="2" t="n">
        <f aca="false">F49*G49</f>
        <v>26.132</v>
      </c>
      <c r="K49" s="2" t="n">
        <f aca="false">F49*$I$8+G49*$H$8</f>
        <v>0.327</v>
      </c>
    </row>
    <row r="50" customFormat="false" ht="14.5" hidden="false" customHeight="false" outlineLevel="0" collapsed="false">
      <c r="C50" s="6" t="n">
        <v>1.87</v>
      </c>
      <c r="D50" s="6" t="n">
        <v>14.6</v>
      </c>
      <c r="E50" s="6" t="n">
        <f aca="false">C50/100</f>
        <v>0.0187</v>
      </c>
      <c r="F50" s="0" t="n">
        <v>1.87</v>
      </c>
      <c r="G50" s="0" t="n">
        <v>14.6</v>
      </c>
      <c r="J50" s="2" t="n">
        <f aca="false">F50*G50</f>
        <v>27.302</v>
      </c>
      <c r="K50" s="2" t="n">
        <f aca="false">F50*$I$8+G50*$H$8</f>
        <v>0.333</v>
      </c>
    </row>
    <row r="51" customFormat="false" ht="14.5" hidden="false" customHeight="false" outlineLevel="0" collapsed="false">
      <c r="C51" s="6" t="n">
        <v>1.86</v>
      </c>
      <c r="D51" s="6" t="n">
        <v>15.2</v>
      </c>
      <c r="E51" s="6" t="n">
        <f aca="false">C51/100</f>
        <v>0.0186</v>
      </c>
      <c r="F51" s="0" t="n">
        <v>1.86</v>
      </c>
      <c r="G51" s="0" t="n">
        <v>15.2</v>
      </c>
      <c r="J51" s="2" t="n">
        <f aca="false">F51*G51</f>
        <v>28.272</v>
      </c>
      <c r="K51" s="2" t="n">
        <f aca="false">F51*$I$8+G51*$H$8</f>
        <v>0.338</v>
      </c>
    </row>
    <row r="52" customFormat="false" ht="14.5" hidden="false" customHeight="false" outlineLevel="0" collapsed="false">
      <c r="C52" s="6" t="n">
        <v>1.85</v>
      </c>
      <c r="D52" s="6" t="n">
        <v>16</v>
      </c>
      <c r="E52" s="6" t="n">
        <f aca="false">C52/100</f>
        <v>0.0185</v>
      </c>
      <c r="F52" s="0" t="n">
        <v>1.85</v>
      </c>
      <c r="G52" s="0" t="n">
        <v>16</v>
      </c>
      <c r="J52" s="2" t="n">
        <f aca="false">F52*G52</f>
        <v>29.6</v>
      </c>
      <c r="K52" s="2" t="n">
        <f aca="false">F52*$I$8+G52*$H$8</f>
        <v>0.345</v>
      </c>
    </row>
    <row r="53" customFormat="false" ht="14.5" hidden="false" customHeight="false" outlineLevel="0" collapsed="false">
      <c r="C53" s="6" t="n">
        <v>1.84</v>
      </c>
      <c r="D53" s="6" t="n">
        <v>16.6</v>
      </c>
      <c r="E53" s="6" t="n">
        <f aca="false">C53/100</f>
        <v>0.0184</v>
      </c>
      <c r="F53" s="0" t="n">
        <v>1.84</v>
      </c>
      <c r="G53" s="0" t="n">
        <v>16.6</v>
      </c>
      <c r="J53" s="2" t="n">
        <f aca="false">F53*G53</f>
        <v>30.544</v>
      </c>
      <c r="K53" s="2" t="n">
        <f aca="false">F53*$I$8+G53*$H$8</f>
        <v>0.35</v>
      </c>
    </row>
    <row r="54" customFormat="false" ht="14.5" hidden="false" customHeight="false" outlineLevel="0" collapsed="false">
      <c r="C54" s="6" t="n">
        <v>1.83</v>
      </c>
      <c r="D54" s="6" t="n">
        <v>17.4</v>
      </c>
      <c r="E54" s="6" t="n">
        <f aca="false">C54/100</f>
        <v>0.0183</v>
      </c>
      <c r="F54" s="0" t="n">
        <v>1.83</v>
      </c>
      <c r="G54" s="0" t="n">
        <v>17.4</v>
      </c>
      <c r="J54" s="2" t="n">
        <f aca="false">F54*G54</f>
        <v>31.842</v>
      </c>
      <c r="K54" s="2" t="n">
        <f aca="false">F54*$I$8+G54*$H$8</f>
        <v>0.357</v>
      </c>
    </row>
    <row r="55" customFormat="false" ht="14.5" hidden="false" customHeight="false" outlineLevel="0" collapsed="false">
      <c r="C55" s="6" t="n">
        <v>1.82</v>
      </c>
      <c r="D55" s="6" t="n">
        <v>17.8</v>
      </c>
      <c r="E55" s="6" t="n">
        <f aca="false">C55/100</f>
        <v>0.0182</v>
      </c>
      <c r="F55" s="0" t="n">
        <v>1.82</v>
      </c>
      <c r="G55" s="0" t="n">
        <v>17.8</v>
      </c>
      <c r="J55" s="2" t="n">
        <f aca="false">F55*G55</f>
        <v>32.396</v>
      </c>
      <c r="K55" s="2" t="n">
        <f aca="false">F55*$I$8+G55*$H$8</f>
        <v>0.36</v>
      </c>
    </row>
    <row r="56" customFormat="false" ht="14.5" hidden="false" customHeight="false" outlineLevel="0" collapsed="false">
      <c r="C56" s="6" t="n">
        <v>1.74</v>
      </c>
      <c r="D56" s="6" t="n">
        <v>21.5</v>
      </c>
      <c r="E56" s="6" t="n">
        <f aca="false">C56/100</f>
        <v>0.0174</v>
      </c>
      <c r="F56" s="0" t="n">
        <v>1.74</v>
      </c>
      <c r="G56" s="0" t="n">
        <v>21.5</v>
      </c>
      <c r="J56" s="2" t="n">
        <f aca="false">F56*G56</f>
        <v>37.41</v>
      </c>
      <c r="K56" s="2" t="n">
        <f aca="false">F56*$I$8+G56*$H$8</f>
        <v>0.389</v>
      </c>
    </row>
    <row r="57" customFormat="false" ht="13.8" hidden="false" customHeight="false" outlineLevel="0" collapsed="false">
      <c r="C57" s="6" t="n">
        <v>1.55</v>
      </c>
      <c r="D57" s="6" t="n">
        <v>26.7</v>
      </c>
      <c r="E57" s="6" t="n">
        <f aca="false">C57/100</f>
        <v>0.0155</v>
      </c>
      <c r="F57" s="0" t="n">
        <v>1.55</v>
      </c>
      <c r="G57" s="0" t="n">
        <v>26.7</v>
      </c>
      <c r="J57" s="7" t="n">
        <f aca="false">F57*G57</f>
        <v>41.385</v>
      </c>
      <c r="K57" s="2" t="n">
        <f aca="false">F57*$I$8+G57*$H$8</f>
        <v>0.422</v>
      </c>
      <c r="L57" s="0" t="n">
        <f aca="false">F57/(G57/1000)</f>
        <v>58.0524344569288</v>
      </c>
      <c r="M57" s="0" t="n">
        <f aca="false">(H38/(G57/1000))+((I38/1000)*F57/G57^2)</f>
        <v>0.374532052630841</v>
      </c>
    </row>
    <row r="58" customFormat="false" ht="14.5" hidden="false" customHeight="false" outlineLevel="0" collapsed="false">
      <c r="C58" s="6" t="n">
        <v>1.42</v>
      </c>
      <c r="D58" s="6" t="n">
        <v>29</v>
      </c>
      <c r="E58" s="6" t="n">
        <f aca="false">C58/100</f>
        <v>0.0142</v>
      </c>
      <c r="F58" s="0" t="n">
        <v>1.42</v>
      </c>
      <c r="G58" s="0" t="n">
        <v>29</v>
      </c>
      <c r="J58" s="2" t="n">
        <f aca="false">F58*G58</f>
        <v>41.18</v>
      </c>
      <c r="K58" s="2" t="n">
        <f aca="false">F58*$I$8+G58*$H$8</f>
        <v>0.432</v>
      </c>
      <c r="L58" s="2"/>
      <c r="M58" s="2"/>
    </row>
    <row r="59" customFormat="false" ht="14.5" hidden="false" customHeight="false" outlineLevel="0" collapsed="false">
      <c r="C59" s="6" t="n">
        <v>1.17</v>
      </c>
      <c r="D59" s="6" t="n">
        <v>30.3</v>
      </c>
      <c r="E59" s="6" t="n">
        <f aca="false">C59/100</f>
        <v>0.0117</v>
      </c>
      <c r="F59" s="0" t="n">
        <v>1.17</v>
      </c>
      <c r="G59" s="0" t="n">
        <v>30.3</v>
      </c>
      <c r="J59" s="2" t="n">
        <f aca="false">F59*G59</f>
        <v>35.451</v>
      </c>
      <c r="K59" s="2" t="n">
        <f aca="false">F59*$I$8+G59*$H$8</f>
        <v>0.42</v>
      </c>
    </row>
    <row r="60" customFormat="false" ht="14.5" hidden="false" customHeight="false" outlineLevel="0" collapsed="false">
      <c r="C60" s="6" t="n">
        <v>0.86</v>
      </c>
      <c r="D60" s="6" t="n">
        <v>31.6</v>
      </c>
      <c r="E60" s="6" t="n">
        <f aca="false">C60/100</f>
        <v>0.0086</v>
      </c>
      <c r="F60" s="0" t="n">
        <v>0.86</v>
      </c>
      <c r="G60" s="0" t="n">
        <v>31.6</v>
      </c>
      <c r="J60" s="2" t="n">
        <f aca="false">F60*G60</f>
        <v>27.176</v>
      </c>
      <c r="K60" s="2" t="n">
        <f aca="false">F60*$I$8+G60*$H$8</f>
        <v>0.402</v>
      </c>
    </row>
    <row r="61" customFormat="false" ht="14.5" hidden="false" customHeight="false" outlineLevel="0" collapsed="false">
      <c r="C61" s="6" t="n">
        <v>0.64</v>
      </c>
      <c r="D61" s="6" t="n">
        <v>31.7</v>
      </c>
      <c r="E61" s="6" t="n">
        <f aca="false">C61/100</f>
        <v>0.0064</v>
      </c>
      <c r="F61" s="0" t="n">
        <v>0.64</v>
      </c>
      <c r="G61" s="0" t="n">
        <v>31.7</v>
      </c>
      <c r="J61" s="2" t="n">
        <f aca="false">F61*G61</f>
        <v>20.288</v>
      </c>
      <c r="K61" s="2" t="n">
        <f aca="false">F61*$I$8+G61*$H$8</f>
        <v>0.381</v>
      </c>
    </row>
    <row r="62" customFormat="false" ht="14.5" hidden="false" customHeight="false" outlineLevel="0" collapsed="false">
      <c r="C62" s="6" t="n">
        <v>0.46</v>
      </c>
      <c r="D62" s="6" t="n">
        <v>31.7</v>
      </c>
      <c r="E62" s="6" t="n">
        <f aca="false">C62/100</f>
        <v>0.0046</v>
      </c>
      <c r="F62" s="0" t="n">
        <v>0.46</v>
      </c>
      <c r="G62" s="0" t="n">
        <v>31.7</v>
      </c>
      <c r="J62" s="2" t="n">
        <f aca="false">F62*G62</f>
        <v>14.582</v>
      </c>
      <c r="K62" s="2" t="n">
        <f aca="false">F62*$I$8+G62*$H$8</f>
        <v>0.363</v>
      </c>
    </row>
    <row r="63" customFormat="false" ht="14.5" hidden="false" customHeight="false" outlineLevel="0" collapsed="false">
      <c r="C63" s="6" t="n">
        <v>0</v>
      </c>
      <c r="D63" s="6" t="n">
        <v>31.8</v>
      </c>
      <c r="E63" s="6" t="n">
        <f aca="false">C63/100</f>
        <v>0</v>
      </c>
      <c r="F63" s="0" t="n">
        <v>0</v>
      </c>
      <c r="G63" s="0" t="n">
        <v>31.8</v>
      </c>
      <c r="J63" s="2" t="n">
        <f aca="false">F63*G63</f>
        <v>0</v>
      </c>
      <c r="K63" s="2" t="n">
        <f aca="false">F63*$I$8+G63*$H$8</f>
        <v>0.318</v>
      </c>
    </row>
    <row r="66" customFormat="false" ht="14.5" hidden="false" customHeight="false" outlineLevel="0" collapsed="false">
      <c r="C66" s="0" t="s">
        <v>50</v>
      </c>
    </row>
    <row r="67" customFormat="false" ht="14.5" hidden="false" customHeight="false" outlineLevel="0" collapsed="false">
      <c r="C67" s="6"/>
      <c r="D67" s="6"/>
      <c r="E67" s="6" t="s">
        <v>41</v>
      </c>
      <c r="F67" s="0" t="s">
        <v>48</v>
      </c>
      <c r="G67" s="0" t="s">
        <v>39</v>
      </c>
      <c r="H67" s="0" t="s">
        <v>0</v>
      </c>
      <c r="I67" s="0" t="s">
        <v>43</v>
      </c>
      <c r="J67" s="0" t="s">
        <v>49</v>
      </c>
      <c r="K67" s="0" t="s">
        <v>27</v>
      </c>
    </row>
    <row r="68" customFormat="false" ht="14.5" hidden="false" customHeight="false" outlineLevel="0" collapsed="false">
      <c r="C68" s="6" t="n">
        <v>1.98</v>
      </c>
      <c r="D68" s="6" t="n">
        <v>0</v>
      </c>
      <c r="E68" s="6" t="n">
        <f aca="false">C68/100</f>
        <v>0.0198</v>
      </c>
      <c r="F68" s="0" t="n">
        <v>1.98</v>
      </c>
      <c r="G68" s="0" t="n">
        <v>0</v>
      </c>
      <c r="H68" s="0" t="n">
        <v>0.01</v>
      </c>
      <c r="I68" s="0" t="n">
        <v>0.1</v>
      </c>
      <c r="J68" s="2" t="n">
        <f aca="false">F68*G68</f>
        <v>0</v>
      </c>
      <c r="K68" s="2" t="n">
        <f aca="false">F68*$I$8+G68*$H$8</f>
        <v>0.198</v>
      </c>
    </row>
    <row r="69" customFormat="false" ht="14.5" hidden="false" customHeight="false" outlineLevel="0" collapsed="false">
      <c r="C69" s="6" t="n">
        <v>1.9</v>
      </c>
      <c r="D69" s="6" t="n">
        <v>4.8</v>
      </c>
      <c r="E69" s="6" t="n">
        <f aca="false">C69/100</f>
        <v>0.019</v>
      </c>
      <c r="F69" s="0" t="n">
        <v>1.9</v>
      </c>
      <c r="G69" s="0" t="n">
        <v>4.8</v>
      </c>
      <c r="J69" s="2" t="n">
        <f aca="false">F69*G69</f>
        <v>9.12</v>
      </c>
      <c r="K69" s="2" t="n">
        <f aca="false">F69*$I$8+G69*$H$8</f>
        <v>0.238</v>
      </c>
    </row>
    <row r="70" customFormat="false" ht="14.5" hidden="false" customHeight="false" outlineLevel="0" collapsed="false">
      <c r="C70" s="6" t="n">
        <v>1.88</v>
      </c>
      <c r="D70" s="6" t="n">
        <v>5.8</v>
      </c>
      <c r="E70" s="6" t="n">
        <f aca="false">C70/100</f>
        <v>0.0188</v>
      </c>
      <c r="F70" s="0" t="n">
        <v>1.88</v>
      </c>
      <c r="G70" s="0" t="n">
        <v>5.8</v>
      </c>
      <c r="J70" s="2" t="n">
        <f aca="false">F70*G70</f>
        <v>10.904</v>
      </c>
      <c r="K70" s="2" t="n">
        <f aca="false">F70*$I$8+G70*$H$8</f>
        <v>0.246</v>
      </c>
    </row>
    <row r="71" customFormat="false" ht="14.5" hidden="false" customHeight="false" outlineLevel="0" collapsed="false">
      <c r="C71" s="6" t="n">
        <v>1.87</v>
      </c>
      <c r="D71" s="6" t="n">
        <v>6.2</v>
      </c>
      <c r="E71" s="6" t="n">
        <f aca="false">C71/100</f>
        <v>0.0187</v>
      </c>
      <c r="F71" s="0" t="n">
        <v>1.87</v>
      </c>
      <c r="G71" s="0" t="n">
        <v>6.2</v>
      </c>
      <c r="J71" s="2" t="n">
        <f aca="false">F71*G71</f>
        <v>11.594</v>
      </c>
      <c r="K71" s="2" t="n">
        <f aca="false">F71*$I$8+G71*$H$8</f>
        <v>0.249</v>
      </c>
    </row>
    <row r="72" customFormat="false" ht="14.5" hidden="false" customHeight="false" outlineLevel="0" collapsed="false">
      <c r="C72" s="6" t="n">
        <v>1.86</v>
      </c>
      <c r="D72" s="6" t="n">
        <v>7</v>
      </c>
      <c r="E72" s="6" t="n">
        <f aca="false">C72/100</f>
        <v>0.0186</v>
      </c>
      <c r="F72" s="0" t="n">
        <v>1.86</v>
      </c>
      <c r="G72" s="0" t="n">
        <v>7</v>
      </c>
      <c r="J72" s="2" t="n">
        <f aca="false">F72*G72</f>
        <v>13.02</v>
      </c>
      <c r="K72" s="2" t="n">
        <f aca="false">F72*$I$8+G72*$H$8</f>
        <v>0.256</v>
      </c>
    </row>
    <row r="73" customFormat="false" ht="14.5" hidden="false" customHeight="false" outlineLevel="0" collapsed="false">
      <c r="C73" s="6" t="n">
        <v>1.85</v>
      </c>
      <c r="D73" s="6" t="n">
        <v>7.3</v>
      </c>
      <c r="E73" s="6" t="n">
        <f aca="false">C73/100</f>
        <v>0.0185</v>
      </c>
      <c r="F73" s="0" t="n">
        <v>1.85</v>
      </c>
      <c r="G73" s="0" t="n">
        <v>7.3</v>
      </c>
      <c r="J73" s="2" t="n">
        <f aca="false">F73*G73</f>
        <v>13.505</v>
      </c>
      <c r="K73" s="2" t="n">
        <f aca="false">F73*$I$8+G73*$H$8</f>
        <v>0.258</v>
      </c>
    </row>
    <row r="74" customFormat="false" ht="14.5" hidden="false" customHeight="false" outlineLevel="0" collapsed="false">
      <c r="C74" s="6" t="n">
        <v>1.84</v>
      </c>
      <c r="D74" s="6" t="n">
        <v>8</v>
      </c>
      <c r="E74" s="6" t="n">
        <f aca="false">C74/100</f>
        <v>0.0184</v>
      </c>
      <c r="F74" s="0" t="n">
        <v>1.84</v>
      </c>
      <c r="G74" s="0" t="n">
        <v>8</v>
      </c>
      <c r="J74" s="2" t="n">
        <f aca="false">F74*G74</f>
        <v>14.72</v>
      </c>
      <c r="K74" s="2" t="n">
        <f aca="false">F74*$I$8+G74*$H$8</f>
        <v>0.264</v>
      </c>
    </row>
    <row r="75" customFormat="false" ht="14.5" hidden="false" customHeight="false" outlineLevel="0" collapsed="false">
      <c r="C75" s="6" t="n">
        <v>1.83</v>
      </c>
      <c r="D75" s="6" t="n">
        <v>8.3</v>
      </c>
      <c r="E75" s="6" t="n">
        <f aca="false">C75/100</f>
        <v>0.0183</v>
      </c>
      <c r="F75" s="0" t="n">
        <v>1.83</v>
      </c>
      <c r="G75" s="0" t="n">
        <v>8.3</v>
      </c>
      <c r="J75" s="2" t="n">
        <f aca="false">F75*G75</f>
        <v>15.189</v>
      </c>
      <c r="K75" s="2" t="n">
        <f aca="false">F75*$I$8+G75*$H$8</f>
        <v>0.266</v>
      </c>
    </row>
    <row r="76" customFormat="false" ht="14.5" hidden="false" customHeight="false" outlineLevel="0" collapsed="false">
      <c r="C76" s="6" t="n">
        <v>1.82</v>
      </c>
      <c r="D76" s="6" t="n">
        <v>8.5</v>
      </c>
      <c r="E76" s="6" t="n">
        <f aca="false">C76/100</f>
        <v>0.0182</v>
      </c>
      <c r="F76" s="0" t="n">
        <v>1.82</v>
      </c>
      <c r="G76" s="0" t="n">
        <v>8.5</v>
      </c>
      <c r="J76" s="2" t="n">
        <f aca="false">F76*G76</f>
        <v>15.47</v>
      </c>
      <c r="K76" s="2" t="n">
        <f aca="false">F76*$I$8+G76*$H$8</f>
        <v>0.267</v>
      </c>
    </row>
    <row r="77" customFormat="false" ht="14.5" hidden="false" customHeight="false" outlineLevel="0" collapsed="false">
      <c r="C77" s="6" t="n">
        <v>1.81</v>
      </c>
      <c r="D77" s="6" t="n">
        <v>9</v>
      </c>
      <c r="E77" s="6" t="n">
        <f aca="false">C77/100</f>
        <v>0.0181</v>
      </c>
      <c r="F77" s="0" t="n">
        <v>1.81</v>
      </c>
      <c r="G77" s="0" t="n">
        <v>9</v>
      </c>
      <c r="J77" s="2" t="n">
        <f aca="false">F77*G77</f>
        <v>16.29</v>
      </c>
      <c r="K77" s="2" t="n">
        <f aca="false">F77*$I$8+G77*$H$8</f>
        <v>0.271</v>
      </c>
    </row>
    <row r="78" customFormat="false" ht="14.5" hidden="false" customHeight="false" outlineLevel="0" collapsed="false">
      <c r="C78" s="6" t="n">
        <v>1.8</v>
      </c>
      <c r="D78" s="6" t="n">
        <v>9.4</v>
      </c>
      <c r="E78" s="6" t="n">
        <f aca="false">C78/100</f>
        <v>0.018</v>
      </c>
      <c r="F78" s="0" t="n">
        <v>1.8</v>
      </c>
      <c r="G78" s="0" t="n">
        <v>9.4</v>
      </c>
      <c r="J78" s="2" t="n">
        <f aca="false">F78*G78</f>
        <v>16.92</v>
      </c>
      <c r="K78" s="2" t="n">
        <f aca="false">F78*$I$8+G78*$H$8</f>
        <v>0.274</v>
      </c>
    </row>
    <row r="79" customFormat="false" ht="14.5" hidden="false" customHeight="false" outlineLevel="0" collapsed="false">
      <c r="C79" s="6" t="n">
        <v>1.78</v>
      </c>
      <c r="D79" s="6" t="n">
        <v>9.9</v>
      </c>
      <c r="E79" s="6" t="n">
        <f aca="false">C79/100</f>
        <v>0.0178</v>
      </c>
      <c r="F79" s="0" t="n">
        <v>1.78</v>
      </c>
      <c r="G79" s="0" t="n">
        <v>9.9</v>
      </c>
      <c r="J79" s="2" t="n">
        <f aca="false">F79*G79</f>
        <v>17.622</v>
      </c>
      <c r="K79" s="2" t="n">
        <f aca="false">F79*$I$8+G79*$H$8</f>
        <v>0.277</v>
      </c>
    </row>
    <row r="80" customFormat="false" ht="14.5" hidden="false" customHeight="false" outlineLevel="0" collapsed="false">
      <c r="C80" s="6" t="n">
        <v>1.77</v>
      </c>
      <c r="D80" s="6" t="n">
        <v>10.3</v>
      </c>
      <c r="E80" s="6" t="n">
        <f aca="false">C80/100</f>
        <v>0.0177</v>
      </c>
      <c r="F80" s="0" t="n">
        <v>1.77</v>
      </c>
      <c r="G80" s="0" t="n">
        <v>10.3</v>
      </c>
      <c r="J80" s="2" t="n">
        <f aca="false">F80*G80</f>
        <v>18.231</v>
      </c>
      <c r="K80" s="2" t="n">
        <f aca="false">F80*$I$8+G80*$H$8</f>
        <v>0.28</v>
      </c>
    </row>
    <row r="81" customFormat="false" ht="14.5" hidden="false" customHeight="false" outlineLevel="0" collapsed="false">
      <c r="C81" s="6" t="n">
        <v>1.76</v>
      </c>
      <c r="D81" s="6" t="n">
        <v>10.6</v>
      </c>
      <c r="E81" s="6" t="n">
        <f aca="false">C81/100</f>
        <v>0.0176</v>
      </c>
      <c r="F81" s="0" t="n">
        <v>1.76</v>
      </c>
      <c r="G81" s="0" t="n">
        <v>10.6</v>
      </c>
      <c r="J81" s="2" t="n">
        <f aca="false">F81*G81</f>
        <v>18.656</v>
      </c>
      <c r="K81" s="2" t="n">
        <f aca="false">F81*$I$8+G81*$H$8</f>
        <v>0.282</v>
      </c>
    </row>
    <row r="82" customFormat="false" ht="14.5" hidden="false" customHeight="false" outlineLevel="0" collapsed="false">
      <c r="C82" s="6" t="n">
        <v>1.74</v>
      </c>
      <c r="D82" s="6" t="n">
        <v>11</v>
      </c>
      <c r="E82" s="6" t="n">
        <f aca="false">C82/100</f>
        <v>0.0174</v>
      </c>
      <c r="F82" s="0" t="n">
        <v>1.74</v>
      </c>
      <c r="G82" s="0" t="n">
        <v>11</v>
      </c>
      <c r="J82" s="2" t="n">
        <f aca="false">F82*G82</f>
        <v>19.14</v>
      </c>
      <c r="K82" s="2" t="n">
        <f aca="false">F82*$I$8+G82*$H$8</f>
        <v>0.284</v>
      </c>
    </row>
    <row r="83" customFormat="false" ht="14.5" hidden="false" customHeight="false" outlineLevel="0" collapsed="false">
      <c r="C83" s="6" t="n">
        <v>1.72</v>
      </c>
      <c r="D83" s="6" t="n">
        <v>11.4</v>
      </c>
      <c r="E83" s="6" t="n">
        <f aca="false">C83/100</f>
        <v>0.0172</v>
      </c>
      <c r="F83" s="0" t="n">
        <v>1.72</v>
      </c>
      <c r="G83" s="0" t="n">
        <v>11.4</v>
      </c>
      <c r="J83" s="2" t="n">
        <f aca="false">F83*G83</f>
        <v>19.608</v>
      </c>
      <c r="K83" s="2" t="n">
        <f aca="false">F83*$I$8+G83*$H$8</f>
        <v>0.286</v>
      </c>
    </row>
    <row r="84" customFormat="false" ht="14.5" hidden="false" customHeight="false" outlineLevel="0" collapsed="false">
      <c r="C84" s="6" t="n">
        <v>1.7</v>
      </c>
      <c r="D84" s="6" t="n">
        <v>11.7</v>
      </c>
      <c r="E84" s="6" t="n">
        <f aca="false">C84/100</f>
        <v>0.017</v>
      </c>
      <c r="F84" s="0" t="n">
        <v>1.7</v>
      </c>
      <c r="G84" s="0" t="n">
        <v>11.7</v>
      </c>
      <c r="J84" s="2" t="n">
        <f aca="false">F84*G84</f>
        <v>19.89</v>
      </c>
      <c r="K84" s="2" t="n">
        <f aca="false">F84*$I$8+G84*$H$8</f>
        <v>0.287</v>
      </c>
    </row>
    <row r="85" customFormat="false" ht="14.5" hidden="false" customHeight="false" outlineLevel="0" collapsed="false">
      <c r="C85" s="6" t="n">
        <v>1.67</v>
      </c>
      <c r="D85" s="6" t="n">
        <v>12.1</v>
      </c>
      <c r="E85" s="6" t="n">
        <f aca="false">C85/100</f>
        <v>0.0167</v>
      </c>
      <c r="F85" s="0" t="n">
        <v>1.67</v>
      </c>
      <c r="G85" s="0" t="n">
        <v>12.1</v>
      </c>
      <c r="J85" s="2" t="n">
        <f aca="false">F85*G85</f>
        <v>20.207</v>
      </c>
      <c r="K85" s="2" t="n">
        <f aca="false">F85*$I$8+G85*$H$8</f>
        <v>0.288</v>
      </c>
    </row>
    <row r="86" customFormat="false" ht="14.5" hidden="false" customHeight="false" outlineLevel="0" collapsed="false">
      <c r="C86" s="6" t="n">
        <v>1.65</v>
      </c>
      <c r="D86" s="6" t="n">
        <v>12.7</v>
      </c>
      <c r="E86" s="6" t="n">
        <f aca="false">C86/100</f>
        <v>0.0165</v>
      </c>
      <c r="F86" s="0" t="n">
        <v>1.65</v>
      </c>
      <c r="G86" s="0" t="n">
        <v>12.7</v>
      </c>
      <c r="J86" s="2" t="n">
        <f aca="false">F86*G86</f>
        <v>20.955</v>
      </c>
      <c r="K86" s="2" t="n">
        <f aca="false">F86*$I$8+G86*$H$8</f>
        <v>0.292</v>
      </c>
    </row>
    <row r="87" customFormat="false" ht="14.5" hidden="false" customHeight="false" outlineLevel="0" collapsed="false">
      <c r="C87" s="6" t="n">
        <v>1.62</v>
      </c>
      <c r="D87" s="6" t="n">
        <v>13.2</v>
      </c>
      <c r="E87" s="6" t="n">
        <f aca="false">C87/100</f>
        <v>0.0162</v>
      </c>
      <c r="F87" s="0" t="n">
        <v>1.62</v>
      </c>
      <c r="G87" s="0" t="n">
        <v>13.2</v>
      </c>
      <c r="J87" s="2" t="n">
        <f aca="false">F87*G87</f>
        <v>21.384</v>
      </c>
      <c r="K87" s="2" t="n">
        <f aca="false">F87*$I$8+G87*$H$8</f>
        <v>0.294</v>
      </c>
    </row>
    <row r="88" customFormat="false" ht="14.5" hidden="false" customHeight="false" outlineLevel="0" collapsed="false">
      <c r="C88" s="6" t="n">
        <v>1.58</v>
      </c>
      <c r="D88" s="6" t="n">
        <v>13.8</v>
      </c>
      <c r="E88" s="6" t="n">
        <f aca="false">C88/100</f>
        <v>0.0158</v>
      </c>
      <c r="F88" s="0" t="n">
        <v>1.58</v>
      </c>
      <c r="G88" s="0" t="n">
        <v>13.8</v>
      </c>
      <c r="J88" s="7" t="n">
        <f aca="false">F88*G88</f>
        <v>21.804</v>
      </c>
      <c r="K88" s="2" t="n">
        <f aca="false">F88*$I$8+G88*$H$8</f>
        <v>0.296</v>
      </c>
      <c r="L88" s="0" t="n">
        <f aca="false">F88/(G88/1000)</f>
        <v>114.492753623188</v>
      </c>
      <c r="M88" s="0" t="n">
        <f aca="false">(H68/(D88/1000))+(I68/1000*C88/D88^2)</f>
        <v>0.724638510817055</v>
      </c>
    </row>
    <row r="89" customFormat="false" ht="14.5" hidden="false" customHeight="false" outlineLevel="0" collapsed="false">
      <c r="C89" s="6" t="n">
        <v>1.52</v>
      </c>
      <c r="D89" s="6" t="n">
        <v>14.3</v>
      </c>
      <c r="E89" s="6" t="n">
        <f aca="false">C89/100</f>
        <v>0.0152</v>
      </c>
      <c r="F89" s="0" t="n">
        <v>1.52</v>
      </c>
      <c r="G89" s="0" t="n">
        <v>14.3</v>
      </c>
      <c r="J89" s="2" t="n">
        <f aca="false">F89*G89</f>
        <v>21.736</v>
      </c>
      <c r="K89" s="2" t="n">
        <f aca="false">F89*$I$8+G89*$H$8</f>
        <v>0.295</v>
      </c>
      <c r="L89" s="8"/>
      <c r="M89" s="8"/>
    </row>
    <row r="90" customFormat="false" ht="14.5" hidden="false" customHeight="false" outlineLevel="0" collapsed="false">
      <c r="C90" s="6" t="n">
        <v>1.37</v>
      </c>
      <c r="D90" s="6" t="n">
        <v>15.5</v>
      </c>
      <c r="E90" s="6" t="n">
        <f aca="false">C90/100</f>
        <v>0.0137</v>
      </c>
      <c r="F90" s="0" t="n">
        <v>1.37</v>
      </c>
      <c r="G90" s="0" t="n">
        <v>15.5</v>
      </c>
      <c r="J90" s="2" t="n">
        <f aca="false">F90*G90</f>
        <v>21.235</v>
      </c>
      <c r="K90" s="2" t="n">
        <f aca="false">F90*$I$8+G90*$H$8</f>
        <v>0.292</v>
      </c>
    </row>
    <row r="91" customFormat="false" ht="14.5" hidden="false" customHeight="false" outlineLevel="0" collapsed="false">
      <c r="C91" s="6" t="n">
        <v>1.25</v>
      </c>
      <c r="D91" s="6" t="n">
        <v>16.1</v>
      </c>
      <c r="E91" s="6" t="n">
        <f aca="false">C91/100</f>
        <v>0.0125</v>
      </c>
      <c r="F91" s="0" t="n">
        <v>1.25</v>
      </c>
      <c r="G91" s="0" t="n">
        <v>16.1</v>
      </c>
      <c r="J91" s="2" t="n">
        <f aca="false">F91*G91</f>
        <v>20.125</v>
      </c>
      <c r="K91" s="2" t="n">
        <f aca="false">F91*$I$8+G91*$H$8</f>
        <v>0.286</v>
      </c>
    </row>
    <row r="92" customFormat="false" ht="14.5" hidden="false" customHeight="false" outlineLevel="0" collapsed="false">
      <c r="C92" s="6" t="n">
        <v>1.1</v>
      </c>
      <c r="D92" s="6" t="n">
        <v>16.5</v>
      </c>
      <c r="E92" s="6" t="n">
        <f aca="false">C92/100</f>
        <v>0.011</v>
      </c>
      <c r="F92" s="0" t="n">
        <v>1.1</v>
      </c>
      <c r="G92" s="0" t="n">
        <v>16.5</v>
      </c>
      <c r="J92" s="2" t="n">
        <f aca="false">F92*G92</f>
        <v>18.15</v>
      </c>
      <c r="K92" s="2" t="n">
        <f aca="false">F92*$I$8+G92*$H$8</f>
        <v>0.275</v>
      </c>
    </row>
    <row r="93" customFormat="false" ht="14.5" hidden="false" customHeight="false" outlineLevel="0" collapsed="false">
      <c r="C93" s="6" t="n">
        <v>0.75</v>
      </c>
      <c r="D93" s="6" t="n">
        <v>16.9</v>
      </c>
      <c r="E93" s="6" t="n">
        <f aca="false">C93/100</f>
        <v>0.0075</v>
      </c>
      <c r="F93" s="0" t="n">
        <v>0.75</v>
      </c>
      <c r="G93" s="0" t="n">
        <v>16.9</v>
      </c>
      <c r="J93" s="2" t="n">
        <f aca="false">F93*G93</f>
        <v>12.675</v>
      </c>
      <c r="K93" s="2" t="n">
        <f aca="false">F93*$I$8+G93*$H$8</f>
        <v>0.244</v>
      </c>
    </row>
    <row r="94" customFormat="false" ht="14.5" hidden="false" customHeight="false" outlineLevel="0" collapsed="false">
      <c r="C94" s="6" t="n">
        <v>0.45</v>
      </c>
      <c r="D94" s="6" t="n">
        <v>17.1</v>
      </c>
      <c r="E94" s="6" t="n">
        <f aca="false">C94/100</f>
        <v>0.0045</v>
      </c>
      <c r="F94" s="0" t="n">
        <v>0.45</v>
      </c>
      <c r="G94" s="0" t="n">
        <v>17.1</v>
      </c>
      <c r="J94" s="2" t="n">
        <f aca="false">F94*G94</f>
        <v>7.695</v>
      </c>
      <c r="K94" s="2" t="n">
        <f aca="false">F94*$I$8+G94*$H$8</f>
        <v>0.216</v>
      </c>
    </row>
    <row r="95" customFormat="false" ht="14.5" hidden="false" customHeight="false" outlineLevel="0" collapsed="false">
      <c r="C95" s="6" t="n">
        <v>0.11</v>
      </c>
      <c r="D95" s="6" t="n">
        <v>17.2</v>
      </c>
      <c r="E95" s="6" t="n">
        <f aca="false">C95/100</f>
        <v>0.0011</v>
      </c>
      <c r="F95" s="0" t="n">
        <v>0.11</v>
      </c>
      <c r="G95" s="0" t="n">
        <v>17.2</v>
      </c>
      <c r="J95" s="2" t="n">
        <f aca="false">F95*G95</f>
        <v>1.892</v>
      </c>
      <c r="K95" s="2" t="n">
        <f aca="false">F95*$I$8+G95*$H$8</f>
        <v>0.183</v>
      </c>
    </row>
    <row r="96" customFormat="false" ht="14.5" hidden="false" customHeight="false" outlineLevel="0" collapsed="false">
      <c r="C96" s="6" t="n">
        <v>0</v>
      </c>
      <c r="D96" s="6" t="n">
        <v>17.2</v>
      </c>
      <c r="E96" s="6" t="n">
        <f aca="false">C96/100</f>
        <v>0</v>
      </c>
      <c r="F96" s="0" t="n">
        <v>0</v>
      </c>
      <c r="G96" s="0" t="n">
        <v>17.2</v>
      </c>
      <c r="J96" s="2" t="n">
        <f aca="false">F96*G96</f>
        <v>0</v>
      </c>
      <c r="K96" s="2" t="n">
        <f aca="false">F96*$I$8+G96*$H$8</f>
        <v>0.172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O21" activeCellId="0" sqref="O21"/>
    </sheetView>
  </sheetViews>
  <sheetFormatPr defaultColWidth="8.54296875" defaultRowHeight="14.5" zeroHeight="false" outlineLevelRow="0" outlineLevelCol="0"/>
  <cols>
    <col collapsed="false" customWidth="true" hidden="false" outlineLevel="0" max="9" min="9" style="0" width="13.09"/>
  </cols>
  <sheetData>
    <row r="2" customFormat="false" ht="14.5" hidden="false" customHeight="false" outlineLevel="0" collapsed="false">
      <c r="A2" s="0" t="s">
        <v>51</v>
      </c>
      <c r="E2" s="0" t="s">
        <v>52</v>
      </c>
      <c r="I2" s="0" t="s">
        <v>53</v>
      </c>
    </row>
    <row r="3" customFormat="false" ht="14.5" hidden="false" customHeight="false" outlineLevel="0" collapsed="false">
      <c r="A3" s="0" t="s">
        <v>48</v>
      </c>
      <c r="B3" s="0" t="s">
        <v>39</v>
      </c>
      <c r="C3" s="0" t="s">
        <v>0</v>
      </c>
      <c r="D3" s="0" t="s">
        <v>43</v>
      </c>
      <c r="E3" s="0" t="s">
        <v>48</v>
      </c>
      <c r="F3" s="0" t="s">
        <v>54</v>
      </c>
      <c r="G3" s="0" t="s">
        <v>0</v>
      </c>
      <c r="H3" s="0" t="s">
        <v>43</v>
      </c>
      <c r="I3" s="0" t="s">
        <v>48</v>
      </c>
      <c r="J3" s="0" t="s">
        <v>54</v>
      </c>
      <c r="K3" s="0" t="s">
        <v>0</v>
      </c>
      <c r="L3" s="0" t="s">
        <v>43</v>
      </c>
    </row>
    <row r="4" customFormat="false" ht="14.5" hidden="false" customHeight="false" outlineLevel="0" collapsed="false">
      <c r="A4" s="0" t="n">
        <v>2.17</v>
      </c>
      <c r="B4" s="0" t="n">
        <v>0</v>
      </c>
      <c r="C4" s="0" t="n">
        <v>0.01</v>
      </c>
      <c r="D4" s="0" t="n">
        <v>0.1</v>
      </c>
      <c r="E4" s="0" t="n">
        <v>2.03</v>
      </c>
      <c r="F4" s="0" t="n">
        <v>0</v>
      </c>
      <c r="G4" s="0" t="n">
        <v>0.01</v>
      </c>
      <c r="H4" s="0" t="n">
        <v>0.1</v>
      </c>
      <c r="I4" s="0" t="n">
        <v>1.98</v>
      </c>
      <c r="J4" s="0" t="n">
        <v>0</v>
      </c>
      <c r="K4" s="0" t="n">
        <v>0.01</v>
      </c>
      <c r="L4" s="0" t="n">
        <v>0.1</v>
      </c>
    </row>
    <row r="5" customFormat="false" ht="14.5" hidden="false" customHeight="false" outlineLevel="0" collapsed="false">
      <c r="A5" s="0" t="n">
        <v>2.13</v>
      </c>
      <c r="B5" s="0" t="n">
        <v>4.9</v>
      </c>
      <c r="E5" s="0" t="n">
        <v>1.98</v>
      </c>
      <c r="F5" s="0" t="n">
        <v>4.6</v>
      </c>
      <c r="I5" s="0" t="n">
        <v>1.9</v>
      </c>
      <c r="J5" s="0" t="n">
        <v>4.8</v>
      </c>
    </row>
    <row r="6" customFormat="false" ht="14.5" hidden="false" customHeight="false" outlineLevel="0" collapsed="false">
      <c r="A6" s="0" t="n">
        <v>2.11</v>
      </c>
      <c r="B6" s="0" t="n">
        <v>7</v>
      </c>
      <c r="E6" s="0" t="n">
        <v>1.97</v>
      </c>
      <c r="F6" s="0" t="n">
        <v>6.4</v>
      </c>
      <c r="I6" s="0" t="n">
        <v>1.88</v>
      </c>
      <c r="J6" s="0" t="n">
        <v>5.8</v>
      </c>
    </row>
    <row r="7" customFormat="false" ht="14.5" hidden="false" customHeight="false" outlineLevel="0" collapsed="false">
      <c r="A7" s="0" t="n">
        <v>2.1</v>
      </c>
      <c r="B7" s="0" t="n">
        <v>7.6</v>
      </c>
      <c r="E7" s="0" t="n">
        <v>1.96</v>
      </c>
      <c r="F7" s="0" t="n">
        <v>7.1</v>
      </c>
      <c r="I7" s="0" t="n">
        <v>1.87</v>
      </c>
      <c r="J7" s="0" t="n">
        <v>6.2</v>
      </c>
    </row>
    <row r="8" customFormat="false" ht="14.5" hidden="false" customHeight="false" outlineLevel="0" collapsed="false">
      <c r="A8" s="0" t="n">
        <v>2.09</v>
      </c>
      <c r="B8" s="0" t="n">
        <v>8.3</v>
      </c>
      <c r="E8" s="0" t="n">
        <v>1.95</v>
      </c>
      <c r="F8" s="0" t="n">
        <v>7.9</v>
      </c>
      <c r="I8" s="0" t="n">
        <v>1.86</v>
      </c>
      <c r="J8" s="0" t="n">
        <v>7</v>
      </c>
    </row>
    <row r="9" customFormat="false" ht="14.5" hidden="false" customHeight="false" outlineLevel="0" collapsed="false">
      <c r="A9" s="0" t="n">
        <v>2.08</v>
      </c>
      <c r="B9" s="0" t="n">
        <v>9.5</v>
      </c>
      <c r="E9" s="0" t="n">
        <v>1.94</v>
      </c>
      <c r="F9" s="0" t="n">
        <v>9.2</v>
      </c>
      <c r="I9" s="0" t="n">
        <v>1.85</v>
      </c>
      <c r="J9" s="0" t="n">
        <v>7.3</v>
      </c>
    </row>
    <row r="10" customFormat="false" ht="14.5" hidden="false" customHeight="false" outlineLevel="0" collapsed="false">
      <c r="A10" s="0" t="n">
        <v>2.07</v>
      </c>
      <c r="B10" s="0" t="n">
        <v>10.9</v>
      </c>
      <c r="E10" s="0" t="n">
        <v>1.93</v>
      </c>
      <c r="F10" s="0" t="n">
        <v>10</v>
      </c>
      <c r="I10" s="0" t="n">
        <v>1.84</v>
      </c>
      <c r="J10" s="0" t="n">
        <v>8</v>
      </c>
    </row>
    <row r="11" customFormat="false" ht="14.5" hidden="false" customHeight="false" outlineLevel="0" collapsed="false">
      <c r="A11" s="0" t="n">
        <v>2.05</v>
      </c>
      <c r="B11" s="0" t="n">
        <v>12.5</v>
      </c>
      <c r="E11" s="0" t="n">
        <v>1.92</v>
      </c>
      <c r="F11" s="0" t="n">
        <v>10.6</v>
      </c>
      <c r="I11" s="0" t="n">
        <v>1.83</v>
      </c>
      <c r="J11" s="0" t="n">
        <v>8.3</v>
      </c>
    </row>
    <row r="12" customFormat="false" ht="14.5" hidden="false" customHeight="false" outlineLevel="0" collapsed="false">
      <c r="A12" s="0" t="n">
        <v>2.04</v>
      </c>
      <c r="B12" s="0" t="n">
        <v>13.6</v>
      </c>
      <c r="E12" s="0" t="n">
        <v>1.91</v>
      </c>
      <c r="F12" s="0" t="n">
        <v>11.3</v>
      </c>
      <c r="I12" s="0" t="n">
        <v>1.82</v>
      </c>
      <c r="J12" s="0" t="n">
        <v>8.5</v>
      </c>
    </row>
    <row r="13" customFormat="false" ht="14.5" hidden="false" customHeight="false" outlineLevel="0" collapsed="false">
      <c r="A13" s="0" t="n">
        <v>2.02</v>
      </c>
      <c r="B13" s="0" t="n">
        <v>15.8</v>
      </c>
      <c r="E13" s="0" t="n">
        <v>1.9</v>
      </c>
      <c r="F13" s="0" t="n">
        <v>12.2</v>
      </c>
      <c r="I13" s="0" t="n">
        <v>1.81</v>
      </c>
      <c r="J13" s="0" t="n">
        <v>9</v>
      </c>
    </row>
    <row r="14" customFormat="false" ht="14.5" hidden="false" customHeight="false" outlineLevel="0" collapsed="false">
      <c r="A14" s="0" t="n">
        <v>2.01</v>
      </c>
      <c r="B14" s="0" t="n">
        <v>16.8</v>
      </c>
      <c r="E14" s="0" t="n">
        <v>1.89</v>
      </c>
      <c r="F14" s="0" t="n">
        <v>13.3</v>
      </c>
      <c r="I14" s="0" t="n">
        <v>1.8</v>
      </c>
      <c r="J14" s="0" t="n">
        <v>9.4</v>
      </c>
    </row>
    <row r="15" customFormat="false" ht="14.5" hidden="false" customHeight="false" outlineLevel="0" collapsed="false">
      <c r="A15" s="0" t="n">
        <v>1.98</v>
      </c>
      <c r="B15" s="0" t="n">
        <v>20.5</v>
      </c>
      <c r="E15" s="0" t="n">
        <v>1.88</v>
      </c>
      <c r="F15" s="0" t="n">
        <v>13.9</v>
      </c>
      <c r="I15" s="0" t="n">
        <v>1.78</v>
      </c>
      <c r="J15" s="0" t="n">
        <v>9.9</v>
      </c>
    </row>
    <row r="16" customFormat="false" ht="14.5" hidden="false" customHeight="false" outlineLevel="0" collapsed="false">
      <c r="A16" s="0" t="n">
        <v>1.96</v>
      </c>
      <c r="B16" s="0" t="n">
        <v>23.4</v>
      </c>
      <c r="E16" s="0" t="n">
        <v>1.87</v>
      </c>
      <c r="F16" s="0" t="n">
        <v>14.6</v>
      </c>
      <c r="I16" s="0" t="n">
        <v>1.77</v>
      </c>
      <c r="J16" s="0" t="n">
        <v>10.3</v>
      </c>
    </row>
    <row r="17" customFormat="false" ht="14.5" hidden="false" customHeight="false" outlineLevel="0" collapsed="false">
      <c r="A17" s="0" t="n">
        <v>1.9</v>
      </c>
      <c r="B17" s="0" t="n">
        <v>29.2</v>
      </c>
      <c r="E17" s="0" t="n">
        <v>1.86</v>
      </c>
      <c r="F17" s="0" t="n">
        <v>15.2</v>
      </c>
      <c r="I17" s="0" t="n">
        <v>1.76</v>
      </c>
      <c r="J17" s="0" t="n">
        <v>10.6</v>
      </c>
    </row>
    <row r="18" customFormat="false" ht="14.5" hidden="false" customHeight="false" outlineLevel="0" collapsed="false">
      <c r="A18" s="0" t="n">
        <v>1.85</v>
      </c>
      <c r="B18" s="0" t="n">
        <v>33.8</v>
      </c>
      <c r="E18" s="0" t="n">
        <v>1.85</v>
      </c>
      <c r="F18" s="0" t="n">
        <v>16</v>
      </c>
      <c r="I18" s="0" t="n">
        <v>1.74</v>
      </c>
      <c r="J18" s="0" t="n">
        <v>11</v>
      </c>
    </row>
    <row r="19" customFormat="false" ht="14.5" hidden="false" customHeight="false" outlineLevel="0" collapsed="false">
      <c r="A19" s="0" t="n">
        <v>1.75</v>
      </c>
      <c r="B19" s="0" t="n">
        <v>43.3</v>
      </c>
      <c r="E19" s="0" t="n">
        <v>1.84</v>
      </c>
      <c r="F19" s="0" t="n">
        <v>16.6</v>
      </c>
      <c r="I19" s="0" t="n">
        <v>1.72</v>
      </c>
      <c r="J19" s="0" t="n">
        <v>11.4</v>
      </c>
    </row>
    <row r="20" customFormat="false" ht="14.5" hidden="false" customHeight="false" outlineLevel="0" collapsed="false">
      <c r="A20" s="0" t="n">
        <v>1.46</v>
      </c>
      <c r="B20" s="0" t="n">
        <v>60.9</v>
      </c>
      <c r="E20" s="0" t="n">
        <v>1.83</v>
      </c>
      <c r="F20" s="0" t="n">
        <v>17.4</v>
      </c>
      <c r="I20" s="0" t="n">
        <v>1.7</v>
      </c>
      <c r="J20" s="0" t="n">
        <v>11.7</v>
      </c>
    </row>
    <row r="21" customFormat="false" ht="14.5" hidden="false" customHeight="false" outlineLevel="0" collapsed="false">
      <c r="A21" s="0" t="n">
        <v>1.08</v>
      </c>
      <c r="B21" s="0" t="n">
        <v>67.5</v>
      </c>
      <c r="E21" s="0" t="n">
        <v>1.82</v>
      </c>
      <c r="F21" s="0" t="n">
        <v>17.8</v>
      </c>
      <c r="I21" s="0" t="n">
        <v>1.67</v>
      </c>
      <c r="J21" s="0" t="n">
        <v>12.1</v>
      </c>
    </row>
    <row r="22" customFormat="false" ht="14.5" hidden="false" customHeight="false" outlineLevel="0" collapsed="false">
      <c r="A22" s="0" t="n">
        <v>0.77</v>
      </c>
      <c r="B22" s="0" t="n">
        <v>67.8</v>
      </c>
      <c r="E22" s="0" t="n">
        <v>1.74</v>
      </c>
      <c r="F22" s="0" t="n">
        <v>21.5</v>
      </c>
      <c r="I22" s="0" t="n">
        <v>1.65</v>
      </c>
      <c r="J22" s="0" t="n">
        <v>12.7</v>
      </c>
    </row>
    <row r="23" customFormat="false" ht="14.5" hidden="false" customHeight="false" outlineLevel="0" collapsed="false">
      <c r="A23" s="0" t="n">
        <v>0.4</v>
      </c>
      <c r="B23" s="0" t="n">
        <v>68</v>
      </c>
      <c r="E23" s="0" t="n">
        <v>1.55</v>
      </c>
      <c r="F23" s="0" t="n">
        <v>26.7</v>
      </c>
      <c r="I23" s="0" t="n">
        <v>1.62</v>
      </c>
      <c r="J23" s="0" t="n">
        <v>13.2</v>
      </c>
    </row>
    <row r="24" customFormat="false" ht="14.5" hidden="false" customHeight="false" outlineLevel="0" collapsed="false">
      <c r="A24" s="0" t="n">
        <v>0</v>
      </c>
      <c r="B24" s="0" t="n">
        <v>67.7</v>
      </c>
      <c r="E24" s="0" t="n">
        <v>1.42</v>
      </c>
      <c r="F24" s="0" t="n">
        <v>29</v>
      </c>
      <c r="I24" s="0" t="n">
        <v>1.58</v>
      </c>
      <c r="J24" s="0" t="n">
        <v>13.8</v>
      </c>
    </row>
    <row r="25" customFormat="false" ht="14.5" hidden="false" customHeight="false" outlineLevel="0" collapsed="false">
      <c r="E25" s="0" t="n">
        <v>1.17</v>
      </c>
      <c r="F25" s="0" t="n">
        <v>30.3</v>
      </c>
      <c r="I25" s="0" t="n">
        <v>1.52</v>
      </c>
      <c r="J25" s="0" t="n">
        <v>14.3</v>
      </c>
    </row>
    <row r="26" customFormat="false" ht="14.5" hidden="false" customHeight="false" outlineLevel="0" collapsed="false">
      <c r="E26" s="0" t="n">
        <v>0.86</v>
      </c>
      <c r="F26" s="0" t="n">
        <v>31.6</v>
      </c>
      <c r="I26" s="0" t="n">
        <v>1.37</v>
      </c>
      <c r="J26" s="0" t="n">
        <v>15.5</v>
      </c>
    </row>
    <row r="27" customFormat="false" ht="14.5" hidden="false" customHeight="false" outlineLevel="0" collapsed="false">
      <c r="E27" s="0" t="n">
        <v>0.64</v>
      </c>
      <c r="F27" s="0" t="n">
        <v>31.7</v>
      </c>
      <c r="I27" s="0" t="n">
        <v>1.25</v>
      </c>
      <c r="J27" s="0" t="n">
        <v>16.1</v>
      </c>
    </row>
    <row r="28" customFormat="false" ht="14.5" hidden="false" customHeight="false" outlineLevel="0" collapsed="false">
      <c r="E28" s="0" t="n">
        <v>0.46</v>
      </c>
      <c r="F28" s="0" t="n">
        <v>31.7</v>
      </c>
      <c r="I28" s="0" t="n">
        <v>1.1</v>
      </c>
      <c r="J28" s="0" t="n">
        <v>16.5</v>
      </c>
    </row>
    <row r="29" customFormat="false" ht="14.5" hidden="false" customHeight="false" outlineLevel="0" collapsed="false">
      <c r="E29" s="0" t="n">
        <v>0</v>
      </c>
      <c r="F29" s="0" t="n">
        <v>31.8</v>
      </c>
      <c r="I29" s="0" t="n">
        <v>0.75</v>
      </c>
      <c r="J29" s="0" t="n">
        <v>16.9</v>
      </c>
    </row>
    <row r="30" customFormat="false" ht="14.5" hidden="false" customHeight="false" outlineLevel="0" collapsed="false">
      <c r="I30" s="0" t="n">
        <v>0.45</v>
      </c>
      <c r="J30" s="0" t="n">
        <v>17.1</v>
      </c>
    </row>
    <row r="31" customFormat="false" ht="14.5" hidden="false" customHeight="false" outlineLevel="0" collapsed="false">
      <c r="I31" s="0" t="n">
        <v>0.11</v>
      </c>
      <c r="J31" s="0" t="n">
        <v>17.2</v>
      </c>
    </row>
    <row r="32" customFormat="false" ht="14.5" hidden="false" customHeight="false" outlineLevel="0" collapsed="false">
      <c r="I32" s="0" t="n">
        <v>0</v>
      </c>
      <c r="J32" s="0" t="n">
        <v>17.2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P19" activeCellId="0" sqref="P19"/>
    </sheetView>
  </sheetViews>
  <sheetFormatPr defaultColWidth="8.54296875" defaultRowHeight="14.5" zeroHeight="false" outlineLevelRow="0" outlineLevelCol="0"/>
  <cols>
    <col collapsed="false" customWidth="true" hidden="false" outlineLevel="0" max="2" min="1" style="0" width="13.38"/>
    <col collapsed="false" customWidth="true" hidden="false" outlineLevel="0" max="3" min="3" style="0" width="9.03"/>
    <col collapsed="false" customWidth="true" hidden="false" outlineLevel="0" max="24" min="24" style="0" width="10.55"/>
  </cols>
  <sheetData>
    <row r="1" customFormat="false" ht="14.5" hidden="false" customHeight="false" outlineLevel="0" collapsed="false">
      <c r="A1" s="0" t="s">
        <v>55</v>
      </c>
      <c r="B1" s="0" t="s">
        <v>56</v>
      </c>
      <c r="C1" s="0" t="s">
        <v>57</v>
      </c>
      <c r="D1" s="0" t="s">
        <v>58</v>
      </c>
    </row>
    <row r="2" customFormat="false" ht="14.5" hidden="false" customHeight="false" outlineLevel="0" collapsed="false">
      <c r="A2" s="0" t="n">
        <v>70</v>
      </c>
      <c r="B2" s="0" t="n">
        <v>478.184222124284</v>
      </c>
      <c r="C2" s="0" t="n">
        <f aca="false">A41</f>
        <v>2.19</v>
      </c>
      <c r="D2" s="0" t="n">
        <f aca="false">C42</f>
        <v>66</v>
      </c>
      <c r="W2" s="0" t="s">
        <v>7</v>
      </c>
      <c r="X2" s="0" t="n">
        <v>0.1285</v>
      </c>
      <c r="Y2" s="0" t="s">
        <v>59</v>
      </c>
    </row>
    <row r="3" customFormat="false" ht="14.5" hidden="false" customHeight="false" outlineLevel="0" collapsed="false">
      <c r="A3" s="0" t="n">
        <f aca="false">A2+10</f>
        <v>80</v>
      </c>
      <c r="B3" s="0" t="n">
        <v>355.222565006611</v>
      </c>
      <c r="C3" s="0" t="n">
        <f aca="false">K35</f>
        <v>2.16</v>
      </c>
      <c r="D3" s="0" t="n">
        <f aca="false">L36</f>
        <v>52.1</v>
      </c>
      <c r="X3" s="0" t="n">
        <f aca="false">X2/1000</f>
        <v>0.0001285</v>
      </c>
      <c r="Y3" s="0" t="s">
        <v>60</v>
      </c>
    </row>
    <row r="4" customFormat="false" ht="14.5" hidden="false" customHeight="false" outlineLevel="0" collapsed="false">
      <c r="A4" s="0" t="n">
        <f aca="false">A3+10</f>
        <v>90</v>
      </c>
      <c r="B4" s="0" t="n">
        <v>277.655354781842</v>
      </c>
      <c r="C4" s="0" t="n">
        <f aca="false">H35</f>
        <v>2.13</v>
      </c>
      <c r="D4" s="0" t="n">
        <f aca="false">I36</f>
        <v>41.6</v>
      </c>
    </row>
    <row r="5" customFormat="false" ht="14.5" hidden="false" customHeight="false" outlineLevel="0" collapsed="false">
      <c r="A5" s="0" t="n">
        <f aca="false">A4+10</f>
        <v>100</v>
      </c>
      <c r="B5" s="0" t="n">
        <v>216.835610401058</v>
      </c>
      <c r="C5" s="0" t="n">
        <f aca="false">E35</f>
        <v>2.1</v>
      </c>
      <c r="D5" s="0" t="n">
        <f aca="false">F36</f>
        <v>34.6</v>
      </c>
    </row>
    <row r="6" customFormat="false" ht="14.5" hidden="false" customHeight="false" outlineLevel="0" collapsed="false">
      <c r="A6" s="0" t="n">
        <f aca="false">A5+10</f>
        <v>110</v>
      </c>
      <c r="B6" s="0" t="n">
        <v>183.340678713089</v>
      </c>
      <c r="C6" s="0" t="n">
        <f aca="false">A35</f>
        <v>2.08</v>
      </c>
      <c r="D6" s="0" t="n">
        <f aca="false">C36</f>
        <v>29.1</v>
      </c>
    </row>
    <row r="7" customFormat="false" ht="14.5" hidden="false" customHeight="false" outlineLevel="0" collapsed="false">
      <c r="A7" s="0" t="n">
        <f aca="false">A6+10</f>
        <v>120</v>
      </c>
      <c r="B7" s="0" t="n">
        <v>147.642133098281</v>
      </c>
      <c r="C7" s="0" t="n">
        <f aca="false">K29</f>
        <v>2.05</v>
      </c>
      <c r="D7" s="0" t="n">
        <f aca="false">L30</f>
        <v>25</v>
      </c>
      <c r="V7" s="0" t="s">
        <v>7</v>
      </c>
      <c r="W7" s="0" t="n">
        <f aca="false" t="array" ref="W7:X10">LINEST(D2:D10,B2:B10,1,1)</f>
        <v>0.12847917675111</v>
      </c>
      <c r="X7" s="0" t="n">
        <v>5.61992676411665</v>
      </c>
    </row>
    <row r="8" customFormat="false" ht="14.5" hidden="false" customHeight="false" outlineLevel="0" collapsed="false">
      <c r="A8" s="0" t="n">
        <f aca="false">A7+10</f>
        <v>130</v>
      </c>
      <c r="B8" s="0" t="n">
        <v>127.809607756721</v>
      </c>
      <c r="C8" s="0" t="n">
        <f aca="false">H29</f>
        <v>2.03</v>
      </c>
      <c r="D8" s="0" t="n">
        <f aca="false">I30</f>
        <v>21.6</v>
      </c>
      <c r="V8" s="0" t="s">
        <v>19</v>
      </c>
      <c r="W8" s="0" t="n">
        <v>0.0021249388254424</v>
      </c>
      <c r="X8" s="0" t="n">
        <v>0.53542450685813</v>
      </c>
    </row>
    <row r="9" customFormat="false" ht="14.5" hidden="false" customHeight="false" outlineLevel="0" collapsed="false">
      <c r="A9" s="0" t="n">
        <f aca="false">A8+10</f>
        <v>140</v>
      </c>
      <c r="B9" s="0" t="n">
        <v>109.299250771265</v>
      </c>
      <c r="C9" s="0" t="n">
        <f aca="false">E29</f>
        <v>2.01</v>
      </c>
      <c r="D9" s="0" t="n">
        <f aca="false">F30</f>
        <v>19.1</v>
      </c>
      <c r="W9" s="0" t="n">
        <v>0.998088850692293</v>
      </c>
      <c r="X9" s="0" t="n">
        <v>0.770795668448372</v>
      </c>
    </row>
    <row r="10" customFormat="false" ht="14.5" hidden="false" customHeight="false" outlineLevel="0" collapsed="false">
      <c r="A10" s="0" t="n">
        <f aca="false">A9+10</f>
        <v>150</v>
      </c>
      <c r="B10" s="2" t="n">
        <v>93.5988171449495</v>
      </c>
      <c r="C10" s="0" t="n">
        <f aca="false">A29</f>
        <v>1.99</v>
      </c>
      <c r="D10" s="0" t="n">
        <f aca="false">C30</f>
        <v>17.1</v>
      </c>
      <c r="W10" s="0" t="n">
        <v>3655.71749243756</v>
      </c>
      <c r="X10" s="0" t="n">
        <v>7</v>
      </c>
    </row>
    <row r="13" customFormat="false" ht="14.5" hidden="false" customHeight="false" outlineLevel="0" collapsed="false">
      <c r="A13" s="0" t="s">
        <v>61</v>
      </c>
      <c r="B13" s="0" t="n">
        <v>0.4</v>
      </c>
    </row>
    <row r="14" customFormat="false" ht="14.5" hidden="false" customHeight="false" outlineLevel="0" collapsed="false">
      <c r="A14" s="0" t="s">
        <v>0</v>
      </c>
      <c r="B14" s="0" t="n">
        <v>0.01</v>
      </c>
    </row>
    <row r="15" customFormat="false" ht="14.5" hidden="false" customHeight="false" outlineLevel="0" collapsed="false">
      <c r="A15" s="0" t="s">
        <v>43</v>
      </c>
      <c r="B15" s="0" t="n">
        <v>0.1</v>
      </c>
    </row>
    <row r="26" customFormat="false" ht="14.5" hidden="false" customHeight="false" outlineLevel="0" collapsed="false">
      <c r="A26" s="0" t="s">
        <v>62</v>
      </c>
    </row>
    <row r="27" customFormat="false" ht="14.5" hidden="false" customHeight="false" outlineLevel="0" collapsed="false">
      <c r="A27" s="0" t="n">
        <v>150</v>
      </c>
      <c r="E27" s="0" t="n">
        <v>140</v>
      </c>
      <c r="H27" s="0" t="n">
        <v>130</v>
      </c>
      <c r="K27" s="0" t="n">
        <v>120</v>
      </c>
    </row>
    <row r="29" customFormat="false" ht="14.5" hidden="false" customHeight="false" outlineLevel="0" collapsed="false">
      <c r="A29" s="0" t="n">
        <v>1.99</v>
      </c>
      <c r="C29" s="0" t="n">
        <v>0</v>
      </c>
      <c r="E29" s="0" t="n">
        <v>2.01</v>
      </c>
      <c r="F29" s="0" t="n">
        <v>0</v>
      </c>
      <c r="H29" s="0" t="n">
        <v>2.03</v>
      </c>
      <c r="I29" s="0" t="n">
        <v>0</v>
      </c>
      <c r="K29" s="0" t="n">
        <v>2.05</v>
      </c>
      <c r="L29" s="0" t="n">
        <v>0</v>
      </c>
    </row>
    <row r="30" customFormat="false" ht="14.5" hidden="false" customHeight="false" outlineLevel="0" collapsed="false">
      <c r="A30" s="0" t="n">
        <v>0</v>
      </c>
      <c r="C30" s="0" t="n">
        <v>17.1</v>
      </c>
      <c r="E30" s="0" t="n">
        <v>0</v>
      </c>
      <c r="F30" s="0" t="n">
        <v>19.1</v>
      </c>
      <c r="H30" s="0" t="n">
        <v>0</v>
      </c>
      <c r="I30" s="0" t="n">
        <v>21.6</v>
      </c>
      <c r="K30" s="0" t="n">
        <v>0</v>
      </c>
      <c r="L30" s="0" t="n">
        <v>25</v>
      </c>
    </row>
    <row r="33" customFormat="false" ht="14.5" hidden="false" customHeight="false" outlineLevel="0" collapsed="false">
      <c r="A33" s="0" t="n">
        <v>110</v>
      </c>
      <c r="E33" s="0" t="n">
        <v>100</v>
      </c>
      <c r="H33" s="0" t="n">
        <v>90</v>
      </c>
      <c r="K33" s="0" t="n">
        <v>80</v>
      </c>
    </row>
    <row r="35" customFormat="false" ht="14.5" hidden="false" customHeight="false" outlineLevel="0" collapsed="false">
      <c r="A35" s="0" t="n">
        <v>2.08</v>
      </c>
      <c r="C35" s="0" t="n">
        <v>0</v>
      </c>
      <c r="E35" s="0" t="n">
        <v>2.1</v>
      </c>
      <c r="F35" s="0" t="n">
        <v>0</v>
      </c>
      <c r="H35" s="0" t="n">
        <v>2.13</v>
      </c>
      <c r="I35" s="0" t="n">
        <v>0</v>
      </c>
      <c r="K35" s="0" t="n">
        <v>2.16</v>
      </c>
      <c r="L35" s="0" t="n">
        <v>0</v>
      </c>
    </row>
    <row r="36" customFormat="false" ht="14.5" hidden="false" customHeight="false" outlineLevel="0" collapsed="false">
      <c r="A36" s="0" t="n">
        <v>0</v>
      </c>
      <c r="C36" s="0" t="n">
        <v>29.1</v>
      </c>
      <c r="E36" s="0" t="n">
        <v>0</v>
      </c>
      <c r="F36" s="0" t="n">
        <v>34.6</v>
      </c>
      <c r="H36" s="0" t="n">
        <v>0</v>
      </c>
      <c r="I36" s="0" t="n">
        <v>41.6</v>
      </c>
      <c r="K36" s="0" t="n">
        <v>0</v>
      </c>
      <c r="L36" s="0" t="n">
        <v>52.1</v>
      </c>
    </row>
    <row r="39" customFormat="false" ht="14.5" hidden="false" customHeight="false" outlineLevel="0" collapsed="false">
      <c r="A39" s="0" t="n">
        <v>70</v>
      </c>
    </row>
    <row r="41" customFormat="false" ht="14.5" hidden="false" customHeight="false" outlineLevel="0" collapsed="false">
      <c r="A41" s="0" t="n">
        <v>2.19</v>
      </c>
      <c r="C41" s="0" t="n">
        <v>0</v>
      </c>
    </row>
    <row r="42" customFormat="false" ht="14.5" hidden="false" customHeight="false" outlineLevel="0" collapsed="false">
      <c r="A42" s="0" t="n">
        <v>0</v>
      </c>
      <c r="C42" s="0" t="n">
        <v>66</v>
      </c>
    </row>
    <row r="45" customFormat="false" ht="14.5" hidden="false" customHeight="false" outlineLevel="0" collapsed="false">
      <c r="A45" s="0" t="s">
        <v>2</v>
      </c>
      <c r="C45" s="0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0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C3" activeCellId="0" sqref="C3"/>
    </sheetView>
  </sheetViews>
  <sheetFormatPr defaultColWidth="8.54296875" defaultRowHeight="14.5" zeroHeight="false" outlineLevelRow="0" outlineLevelCol="0"/>
  <cols>
    <col collapsed="false" customWidth="true" hidden="false" outlineLevel="0" max="15" min="15" style="0" width="13.09"/>
  </cols>
  <sheetData>
    <row r="1" customFormat="false" ht="14.5" hidden="false" customHeight="false" outlineLevel="0" collapsed="false">
      <c r="A1" s="0" t="s">
        <v>63</v>
      </c>
    </row>
    <row r="2" customFormat="false" ht="14.5" hidden="false" customHeight="false" outlineLevel="0" collapsed="false">
      <c r="A2" s="0" t="s">
        <v>64</v>
      </c>
      <c r="B2" s="0" t="s">
        <v>65</v>
      </c>
      <c r="C2" s="0" t="n">
        <f aca="false">273+23</f>
        <v>296</v>
      </c>
      <c r="H2" s="0" t="s">
        <v>66</v>
      </c>
      <c r="O2" s="0" t="s">
        <v>67</v>
      </c>
      <c r="P2" s="0" t="n">
        <f aca="false">273+73</f>
        <v>346</v>
      </c>
    </row>
    <row r="3" customFormat="false" ht="14.5" hidden="false" customHeight="false" outlineLevel="0" collapsed="false">
      <c r="A3" s="0" t="s">
        <v>48</v>
      </c>
      <c r="B3" s="0" t="s">
        <v>39</v>
      </c>
      <c r="C3" s="0" t="s">
        <v>0</v>
      </c>
      <c r="D3" s="0" t="s">
        <v>43</v>
      </c>
      <c r="E3" s="0" t="s">
        <v>49</v>
      </c>
      <c r="F3" s="0" t="s">
        <v>27</v>
      </c>
      <c r="H3" s="0" t="s">
        <v>48</v>
      </c>
      <c r="I3" s="0" t="s">
        <v>54</v>
      </c>
      <c r="J3" s="0" t="s">
        <v>0</v>
      </c>
      <c r="K3" s="0" t="s">
        <v>43</v>
      </c>
      <c r="L3" s="0" t="s">
        <v>49</v>
      </c>
      <c r="M3" s="0" t="s">
        <v>27</v>
      </c>
      <c r="O3" s="0" t="s">
        <v>48</v>
      </c>
      <c r="P3" s="0" t="s">
        <v>54</v>
      </c>
      <c r="Q3" s="0" t="s">
        <v>0</v>
      </c>
      <c r="R3" s="0" t="s">
        <v>43</v>
      </c>
      <c r="S3" s="0" t="s">
        <v>49</v>
      </c>
      <c r="T3" s="0" t="s">
        <v>27</v>
      </c>
    </row>
    <row r="4" customFormat="false" ht="14.5" hidden="false" customHeight="false" outlineLevel="0" collapsed="false">
      <c r="A4" s="0" t="n">
        <v>2.03</v>
      </c>
      <c r="B4" s="0" t="n">
        <v>0</v>
      </c>
      <c r="C4" s="0" t="n">
        <v>0.01</v>
      </c>
      <c r="D4" s="0" t="n">
        <v>0.1</v>
      </c>
      <c r="E4" s="2" t="n">
        <f aca="false">A4*B4</f>
        <v>0</v>
      </c>
      <c r="F4" s="2" t="n">
        <f aca="false">A4*$D$4+B4*$C$4</f>
        <v>0.203</v>
      </c>
      <c r="H4" s="0" t="n">
        <v>2.02</v>
      </c>
      <c r="I4" s="0" t="n">
        <v>0</v>
      </c>
      <c r="J4" s="0" t="n">
        <v>0.01</v>
      </c>
      <c r="K4" s="0" t="n">
        <v>0.1</v>
      </c>
      <c r="L4" s="2" t="n">
        <f aca="false">H4*I4</f>
        <v>0</v>
      </c>
      <c r="M4" s="2" t="n">
        <f aca="false">H4*$K$4+I4*$J$4</f>
        <v>0.202</v>
      </c>
      <c r="O4" s="0" t="n">
        <v>1.98</v>
      </c>
      <c r="P4" s="0" t="n">
        <v>0</v>
      </c>
      <c r="Q4" s="0" t="n">
        <v>0.01</v>
      </c>
      <c r="R4" s="0" t="n">
        <v>0.1</v>
      </c>
      <c r="S4" s="2" t="n">
        <f aca="false">O4*P4</f>
        <v>0</v>
      </c>
      <c r="T4" s="2" t="n">
        <f aca="false">O4*$K$4+P4*$J$4</f>
        <v>0.198</v>
      </c>
    </row>
    <row r="5" customFormat="false" ht="14.5" hidden="false" customHeight="false" outlineLevel="0" collapsed="false">
      <c r="A5" s="0" t="n">
        <v>1.98</v>
      </c>
      <c r="B5" s="0" t="n">
        <v>4.6</v>
      </c>
      <c r="E5" s="2" t="n">
        <f aca="false">A5*B5</f>
        <v>9.108</v>
      </c>
      <c r="F5" s="2" t="n">
        <f aca="false">A5*$D$4+B5*$C$4</f>
        <v>0.244</v>
      </c>
      <c r="H5" s="0" t="n">
        <v>1.95</v>
      </c>
      <c r="I5" s="0" t="n">
        <v>5</v>
      </c>
      <c r="L5" s="2" t="n">
        <f aca="false">H5*I5</f>
        <v>9.75</v>
      </c>
      <c r="M5" s="2" t="n">
        <f aca="false">H5*$K$4+I5*$J$4</f>
        <v>0.245</v>
      </c>
      <c r="O5" s="0" t="n">
        <v>1.91</v>
      </c>
      <c r="P5" s="0" t="n">
        <v>5.7</v>
      </c>
      <c r="S5" s="2" t="n">
        <f aca="false">O5*P5</f>
        <v>10.887</v>
      </c>
      <c r="T5" s="2" t="n">
        <f aca="false">O5*$K$4+P5*$J$4</f>
        <v>0.248</v>
      </c>
    </row>
    <row r="6" customFormat="false" ht="14.5" hidden="false" customHeight="false" outlineLevel="0" collapsed="false">
      <c r="A6" s="0" t="n">
        <v>1.97</v>
      </c>
      <c r="B6" s="0" t="n">
        <v>6.4</v>
      </c>
      <c r="E6" s="2" t="n">
        <f aca="false">A6*B6</f>
        <v>12.608</v>
      </c>
      <c r="F6" s="2" t="n">
        <f aca="false">A6*$D$4+B6*$C$4</f>
        <v>0.261</v>
      </c>
      <c r="H6" s="0" t="n">
        <v>1.94</v>
      </c>
      <c r="I6" s="0" t="n">
        <v>6</v>
      </c>
      <c r="L6" s="2" t="n">
        <f aca="false">H6*I6</f>
        <v>11.64</v>
      </c>
      <c r="M6" s="2" t="n">
        <f aca="false">H6*$K$4+I6*$J$4</f>
        <v>0.254</v>
      </c>
      <c r="O6" s="0" t="n">
        <v>1.9</v>
      </c>
      <c r="P6" s="0" t="n">
        <v>6</v>
      </c>
      <c r="S6" s="2" t="n">
        <f aca="false">O6*P6</f>
        <v>11.4</v>
      </c>
      <c r="T6" s="2" t="n">
        <f aca="false">O6*$K$4+P6*$J$4</f>
        <v>0.25</v>
      </c>
    </row>
    <row r="7" customFormat="false" ht="14.5" hidden="false" customHeight="false" outlineLevel="0" collapsed="false">
      <c r="A7" s="0" t="n">
        <v>1.96</v>
      </c>
      <c r="B7" s="0" t="n">
        <v>7.1</v>
      </c>
      <c r="E7" s="2" t="n">
        <f aca="false">A7*B7</f>
        <v>13.916</v>
      </c>
      <c r="F7" s="2" t="n">
        <f aca="false">A7*$D$4+B7*$C$4</f>
        <v>0.267</v>
      </c>
      <c r="H7" s="0" t="n">
        <v>1.93</v>
      </c>
      <c r="I7" s="0" t="n">
        <v>6.4</v>
      </c>
      <c r="L7" s="2" t="n">
        <f aca="false">H7*I7</f>
        <v>12.352</v>
      </c>
      <c r="M7" s="2" t="n">
        <f aca="false">H7*$K$4+I7*$J$4</f>
        <v>0.257</v>
      </c>
      <c r="O7" s="0" t="n">
        <v>1.89</v>
      </c>
      <c r="P7" s="0" t="n">
        <v>6.5</v>
      </c>
      <c r="S7" s="2" t="n">
        <f aca="false">O7*P7</f>
        <v>12.285</v>
      </c>
      <c r="T7" s="2" t="n">
        <f aca="false">O7*$K$4+P7*$J$4</f>
        <v>0.254</v>
      </c>
    </row>
    <row r="8" customFormat="false" ht="14.5" hidden="false" customHeight="false" outlineLevel="0" collapsed="false">
      <c r="A8" s="0" t="n">
        <v>1.95</v>
      </c>
      <c r="B8" s="0" t="n">
        <v>7.9</v>
      </c>
      <c r="E8" s="2" t="n">
        <f aca="false">A8*B8</f>
        <v>15.405</v>
      </c>
      <c r="F8" s="2" t="n">
        <f aca="false">A8*$D$4+B8*$C$4</f>
        <v>0.274</v>
      </c>
      <c r="H8" s="0" t="n">
        <v>1.92</v>
      </c>
      <c r="I8" s="0" t="n">
        <v>6.9</v>
      </c>
      <c r="L8" s="2" t="n">
        <f aca="false">H8*I8</f>
        <v>13.248</v>
      </c>
      <c r="M8" s="2" t="n">
        <f aca="false">H8*$K$4+I8*$J$4</f>
        <v>0.261</v>
      </c>
      <c r="O8" s="0" t="n">
        <v>1.88</v>
      </c>
      <c r="P8" s="0" t="n">
        <v>7.1</v>
      </c>
      <c r="S8" s="2" t="n">
        <f aca="false">O8*P8</f>
        <v>13.348</v>
      </c>
      <c r="T8" s="2" t="n">
        <f aca="false">O8*$K$4+P8*$J$4</f>
        <v>0.259</v>
      </c>
    </row>
    <row r="9" customFormat="false" ht="14.5" hidden="false" customHeight="false" outlineLevel="0" collapsed="false">
      <c r="A9" s="0" t="n">
        <v>1.94</v>
      </c>
      <c r="B9" s="0" t="n">
        <v>9.2</v>
      </c>
      <c r="E9" s="2" t="n">
        <f aca="false">A9*B9</f>
        <v>17.848</v>
      </c>
      <c r="F9" s="2" t="n">
        <f aca="false">A9*$D$4+B9*$C$4</f>
        <v>0.286</v>
      </c>
      <c r="H9" s="0" t="n">
        <v>1.91</v>
      </c>
      <c r="I9" s="0" t="n">
        <v>7.6</v>
      </c>
      <c r="L9" s="2" t="n">
        <f aca="false">H9*I9</f>
        <v>14.516</v>
      </c>
      <c r="M9" s="2" t="n">
        <f aca="false">H9*$K$4+I9*$J$4</f>
        <v>0.267</v>
      </c>
      <c r="O9" s="0" t="n">
        <v>1.87</v>
      </c>
      <c r="P9" s="0" t="n">
        <v>7.7</v>
      </c>
      <c r="S9" s="2" t="n">
        <f aca="false">O9*P9</f>
        <v>14.399</v>
      </c>
      <c r="T9" s="2" t="n">
        <f aca="false">O9*$K$4+P9*$J$4</f>
        <v>0.264</v>
      </c>
    </row>
    <row r="10" customFormat="false" ht="14.5" hidden="false" customHeight="false" outlineLevel="0" collapsed="false">
      <c r="A10" s="0" t="n">
        <v>1.93</v>
      </c>
      <c r="B10" s="0" t="n">
        <v>10</v>
      </c>
      <c r="E10" s="2" t="n">
        <f aca="false">A10*B10</f>
        <v>19.3</v>
      </c>
      <c r="F10" s="2" t="n">
        <f aca="false">A10*$D$4+B10*$C$4</f>
        <v>0.293</v>
      </c>
      <c r="H10" s="0" t="n">
        <v>1.9</v>
      </c>
      <c r="I10" s="0" t="n">
        <v>8.1</v>
      </c>
      <c r="L10" s="2" t="n">
        <f aca="false">H10*I10</f>
        <v>15.39</v>
      </c>
      <c r="M10" s="2" t="n">
        <f aca="false">H10*$K$4+I10*$J$4</f>
        <v>0.271</v>
      </c>
      <c r="O10" s="0" t="n">
        <v>1.86</v>
      </c>
      <c r="P10" s="0" t="n">
        <v>8.3</v>
      </c>
      <c r="S10" s="2" t="n">
        <f aca="false">O10*P10</f>
        <v>15.438</v>
      </c>
      <c r="T10" s="2" t="n">
        <f aca="false">O10*$K$4+P10*$J$4</f>
        <v>0.269</v>
      </c>
    </row>
    <row r="11" customFormat="false" ht="14.5" hidden="false" customHeight="false" outlineLevel="0" collapsed="false">
      <c r="A11" s="0" t="n">
        <v>1.92</v>
      </c>
      <c r="B11" s="0" t="n">
        <v>10.6</v>
      </c>
      <c r="E11" s="2" t="n">
        <f aca="false">A11*B11</f>
        <v>20.352</v>
      </c>
      <c r="F11" s="2" t="n">
        <f aca="false">A11*$D$4+B11*$C$4</f>
        <v>0.298</v>
      </c>
      <c r="H11" s="0" t="n">
        <v>1.88</v>
      </c>
      <c r="I11" s="0" t="n">
        <v>9.4</v>
      </c>
      <c r="L11" s="2" t="n">
        <f aca="false">H11*I11</f>
        <v>17.672</v>
      </c>
      <c r="M11" s="2" t="n">
        <f aca="false">H11*$K$4+I11*$J$4</f>
        <v>0.282</v>
      </c>
      <c r="O11" s="0" t="n">
        <v>1.88</v>
      </c>
      <c r="P11" s="0" t="n">
        <v>9.4</v>
      </c>
      <c r="S11" s="2" t="n">
        <f aca="false">O11*P11</f>
        <v>17.672</v>
      </c>
      <c r="T11" s="2" t="n">
        <f aca="false">O11*$K$4+P11*$J$4</f>
        <v>0.282</v>
      </c>
    </row>
    <row r="12" customFormat="false" ht="14.5" hidden="false" customHeight="false" outlineLevel="0" collapsed="false">
      <c r="A12" s="0" t="n">
        <v>1.91</v>
      </c>
      <c r="B12" s="0" t="n">
        <v>11.3</v>
      </c>
      <c r="E12" s="2" t="n">
        <f aca="false">A12*B12</f>
        <v>21.583</v>
      </c>
      <c r="F12" s="2" t="n">
        <f aca="false">A12*$D$4+B12*$C$4</f>
        <v>0.304</v>
      </c>
      <c r="H12" s="0" t="n">
        <v>1.85</v>
      </c>
      <c r="I12" s="0" t="n">
        <v>10.7</v>
      </c>
      <c r="L12" s="2" t="n">
        <f aca="false">H12*I12</f>
        <v>19.795</v>
      </c>
      <c r="M12" s="2" t="n">
        <f aca="false">H12*$K$4+I12*$J$4</f>
        <v>0.292</v>
      </c>
      <c r="O12" s="0" t="n">
        <v>1.83</v>
      </c>
      <c r="P12" s="0" t="n">
        <v>10.5</v>
      </c>
      <c r="S12" s="2" t="n">
        <f aca="false">O12*P12</f>
        <v>19.215</v>
      </c>
      <c r="T12" s="2" t="n">
        <f aca="false">O12*$K$4+P12*$J$4</f>
        <v>0.288</v>
      </c>
    </row>
    <row r="13" customFormat="false" ht="14.5" hidden="false" customHeight="false" outlineLevel="0" collapsed="false">
      <c r="A13" s="0" t="n">
        <v>1.9</v>
      </c>
      <c r="B13" s="0" t="n">
        <v>12.2</v>
      </c>
      <c r="E13" s="2" t="n">
        <f aca="false">A13*B13</f>
        <v>23.18</v>
      </c>
      <c r="F13" s="2" t="n">
        <f aca="false">A13*$D$4+B13*$C$4</f>
        <v>0.312</v>
      </c>
      <c r="H13" s="0" t="n">
        <v>1.83</v>
      </c>
      <c r="I13" s="0" t="n">
        <v>11.9</v>
      </c>
      <c r="L13" s="2" t="n">
        <f aca="false">H13*I13</f>
        <v>21.777</v>
      </c>
      <c r="M13" s="2" t="n">
        <f aca="false">H13*$K$4+I13*$J$4</f>
        <v>0.302</v>
      </c>
      <c r="O13" s="0" t="n">
        <v>1.81</v>
      </c>
      <c r="P13" s="0" t="n">
        <v>11.6</v>
      </c>
      <c r="S13" s="2" t="n">
        <f aca="false">O13*P13</f>
        <v>20.996</v>
      </c>
      <c r="T13" s="2" t="n">
        <f aca="false">O13*$K$4+P13*$J$4</f>
        <v>0.297</v>
      </c>
    </row>
    <row r="14" customFormat="false" ht="14.5" hidden="false" customHeight="false" outlineLevel="0" collapsed="false">
      <c r="A14" s="0" t="n">
        <v>1.89</v>
      </c>
      <c r="B14" s="0" t="n">
        <v>13.3</v>
      </c>
      <c r="E14" s="2" t="n">
        <f aca="false">A14*B14</f>
        <v>25.137</v>
      </c>
      <c r="F14" s="2" t="n">
        <f aca="false">A14*$D$4+B14*$C$4</f>
        <v>0.322</v>
      </c>
      <c r="H14" s="0" t="n">
        <v>1.8</v>
      </c>
      <c r="I14" s="0" t="n">
        <v>13.2</v>
      </c>
      <c r="L14" s="2" t="n">
        <f aca="false">H14*I14</f>
        <v>23.76</v>
      </c>
      <c r="M14" s="2" t="n">
        <f aca="false">H14*$K$4+I14*$J$4</f>
        <v>0.312</v>
      </c>
      <c r="O14" s="0" t="n">
        <v>1.79</v>
      </c>
      <c r="P14" s="0" t="n">
        <v>13.4</v>
      </c>
      <c r="S14" s="2" t="n">
        <f aca="false">O14*P14</f>
        <v>23.986</v>
      </c>
      <c r="T14" s="2" t="n">
        <f aca="false">O14*$K$4+P14*$J$4</f>
        <v>0.313</v>
      </c>
    </row>
    <row r="15" customFormat="false" ht="14.5" hidden="false" customHeight="false" outlineLevel="0" collapsed="false">
      <c r="A15" s="0" t="n">
        <v>1.88</v>
      </c>
      <c r="B15" s="0" t="n">
        <v>13.9</v>
      </c>
      <c r="E15" s="2" t="n">
        <f aca="false">A15*B15</f>
        <v>26.132</v>
      </c>
      <c r="F15" s="2" t="n">
        <f aca="false">A15*$D$4+B15*$C$4</f>
        <v>0.327</v>
      </c>
      <c r="H15" s="0" t="n">
        <v>1.75</v>
      </c>
      <c r="I15" s="0" t="n">
        <v>14.8</v>
      </c>
      <c r="L15" s="2" t="n">
        <f aca="false">H15*I15</f>
        <v>25.9</v>
      </c>
      <c r="M15" s="2" t="n">
        <f aca="false">H15*$K$4+I15*$J$4</f>
        <v>0.323</v>
      </c>
      <c r="O15" s="0" t="n">
        <v>1.76</v>
      </c>
      <c r="P15" s="0" t="n">
        <v>14.6</v>
      </c>
      <c r="S15" s="2" t="n">
        <f aca="false">O15*P15</f>
        <v>25.696</v>
      </c>
      <c r="T15" s="2" t="n">
        <f aca="false">O15*$K$4+P15*$J$4</f>
        <v>0.322</v>
      </c>
    </row>
    <row r="16" customFormat="false" ht="14.5" hidden="false" customHeight="false" outlineLevel="0" collapsed="false">
      <c r="A16" s="0" t="n">
        <v>1.87</v>
      </c>
      <c r="B16" s="0" t="n">
        <v>14.6</v>
      </c>
      <c r="E16" s="2" t="n">
        <f aca="false">A16*B16</f>
        <v>27.302</v>
      </c>
      <c r="F16" s="2" t="n">
        <f aca="false">A16*$D$4+B16*$C$4</f>
        <v>0.333</v>
      </c>
      <c r="H16" s="0" t="n">
        <v>1.73</v>
      </c>
      <c r="I16" s="0" t="n">
        <v>15.5</v>
      </c>
      <c r="L16" s="2" t="n">
        <f aca="false">H16*I16</f>
        <v>26.815</v>
      </c>
      <c r="M16" s="2" t="n">
        <f aca="false">H16*$K$4+I16*$J$4</f>
        <v>0.328</v>
      </c>
      <c r="O16" s="0" t="n">
        <v>1.73</v>
      </c>
      <c r="P16" s="0" t="n">
        <v>15.8</v>
      </c>
      <c r="S16" s="2" t="n">
        <f aca="false">O16*P16</f>
        <v>27.334</v>
      </c>
      <c r="T16" s="2" t="n">
        <f aca="false">O16*$K$4+P16*$J$4</f>
        <v>0.331</v>
      </c>
    </row>
    <row r="17" customFormat="false" ht="14.5" hidden="false" customHeight="false" outlineLevel="0" collapsed="false">
      <c r="A17" s="0" t="n">
        <v>1.86</v>
      </c>
      <c r="B17" s="0" t="n">
        <v>15.2</v>
      </c>
      <c r="E17" s="2" t="n">
        <f aca="false">A17*B17</f>
        <v>28.272</v>
      </c>
      <c r="F17" s="2" t="n">
        <f aca="false">A17*$D$4+B17*$C$4</f>
        <v>0.338</v>
      </c>
      <c r="H17" s="0" t="n">
        <v>1.69</v>
      </c>
      <c r="I17" s="0" t="n">
        <v>16.6</v>
      </c>
      <c r="L17" s="2" t="n">
        <f aca="false">H17*I17</f>
        <v>28.054</v>
      </c>
      <c r="M17" s="2" t="n">
        <f aca="false">H17*$K$4+I17*$J$4</f>
        <v>0.335</v>
      </c>
      <c r="O17" s="0" t="n">
        <v>1.68</v>
      </c>
      <c r="P17" s="0" t="n">
        <v>18.6</v>
      </c>
      <c r="S17" s="2" t="n">
        <f aca="false">O17*P17</f>
        <v>31.248</v>
      </c>
      <c r="T17" s="2" t="n">
        <f aca="false">O17*$K$4+P17*$J$4</f>
        <v>0.354</v>
      </c>
    </row>
    <row r="18" customFormat="false" ht="14.5" hidden="false" customHeight="false" outlineLevel="0" collapsed="false">
      <c r="A18" s="0" t="n">
        <v>1.85</v>
      </c>
      <c r="B18" s="0" t="n">
        <v>16</v>
      </c>
      <c r="E18" s="2" t="n">
        <f aca="false">A18*B18</f>
        <v>29.6</v>
      </c>
      <c r="F18" s="2" t="n">
        <f aca="false">A18*$D$4+B18*$C$4</f>
        <v>0.345</v>
      </c>
      <c r="H18" s="0" t="n">
        <v>1.59</v>
      </c>
      <c r="I18" s="0" t="n">
        <v>18.8</v>
      </c>
      <c r="L18" s="7" t="n">
        <f aca="false">H18*I18</f>
        <v>29.892</v>
      </c>
      <c r="M18" s="2" t="n">
        <f aca="false">H18*$K$4+I18*$J$4</f>
        <v>0.347</v>
      </c>
      <c r="O18" s="0" t="n">
        <v>1.62</v>
      </c>
      <c r="P18" s="0" t="n">
        <v>21</v>
      </c>
      <c r="S18" s="2" t="n">
        <f aca="false">O18*P18</f>
        <v>34.02</v>
      </c>
      <c r="T18" s="2" t="n">
        <f aca="false">O18*$K$4+P18*$J$4</f>
        <v>0.372</v>
      </c>
    </row>
    <row r="19" customFormat="false" ht="14.5" hidden="false" customHeight="false" outlineLevel="0" collapsed="false">
      <c r="A19" s="0" t="n">
        <v>1.84</v>
      </c>
      <c r="B19" s="0" t="n">
        <v>16.6</v>
      </c>
      <c r="E19" s="2" t="n">
        <f aca="false">A19*B19</f>
        <v>30.544</v>
      </c>
      <c r="F19" s="2" t="n">
        <f aca="false">A19*$D$4+B19*$C$4</f>
        <v>0.35</v>
      </c>
      <c r="H19" s="0" t="n">
        <v>1.52</v>
      </c>
      <c r="I19" s="0" t="n">
        <v>19.6</v>
      </c>
      <c r="L19" s="2" t="n">
        <f aca="false">H19*I19</f>
        <v>29.792</v>
      </c>
      <c r="M19" s="2" t="n">
        <f aca="false">H19*$K$4+I19*$J$4</f>
        <v>0.348</v>
      </c>
      <c r="O19" s="0" t="n">
        <v>1.59</v>
      </c>
      <c r="P19" s="0" t="n">
        <v>22.7</v>
      </c>
      <c r="S19" s="2" t="n">
        <f aca="false">O19*P19</f>
        <v>36.093</v>
      </c>
      <c r="T19" s="2" t="n">
        <f aca="false">O19*$K$4+P19*$J$4</f>
        <v>0.386</v>
      </c>
    </row>
    <row r="20" customFormat="false" ht="14.5" hidden="false" customHeight="false" outlineLevel="0" collapsed="false">
      <c r="A20" s="0" t="n">
        <v>1.83</v>
      </c>
      <c r="B20" s="0" t="n">
        <v>17.4</v>
      </c>
      <c r="E20" s="2" t="n">
        <f aca="false">A20*B20</f>
        <v>31.842</v>
      </c>
      <c r="F20" s="2" t="n">
        <f aca="false">A20*$D$4+B20*$C$4</f>
        <v>0.357</v>
      </c>
      <c r="H20" s="0" t="n">
        <v>1.47</v>
      </c>
      <c r="I20" s="0" t="n">
        <v>20.1</v>
      </c>
      <c r="L20" s="2" t="n">
        <f aca="false">H20*I20</f>
        <v>29.547</v>
      </c>
      <c r="M20" s="2" t="n">
        <f aca="false">H20*$K$4+I20*$J$4</f>
        <v>0.348</v>
      </c>
      <c r="O20" s="0" t="n">
        <v>1.41</v>
      </c>
      <c r="P20" s="0" t="n">
        <v>26.3</v>
      </c>
      <c r="S20" s="7" t="n">
        <f aca="false">O20*P20</f>
        <v>37.083</v>
      </c>
      <c r="T20" s="2" t="n">
        <f aca="false">O20*$K$4+P20*$J$4</f>
        <v>0.404</v>
      </c>
    </row>
    <row r="21" customFormat="false" ht="14.5" hidden="false" customHeight="false" outlineLevel="0" collapsed="false">
      <c r="A21" s="0" t="n">
        <v>1.82</v>
      </c>
      <c r="B21" s="0" t="n">
        <v>17.8</v>
      </c>
      <c r="E21" s="2" t="n">
        <f aca="false">A21*B21</f>
        <v>32.396</v>
      </c>
      <c r="F21" s="2" t="n">
        <f aca="false">A21*$D$4+B21*$C$4</f>
        <v>0.36</v>
      </c>
      <c r="H21" s="0" t="n">
        <v>1.4</v>
      </c>
      <c r="I21" s="0" t="n">
        <v>20.6</v>
      </c>
      <c r="L21" s="2" t="n">
        <f aca="false">H21*I21</f>
        <v>28.84</v>
      </c>
      <c r="M21" s="2" t="n">
        <f aca="false">H21*$K$4+I21*$J$4</f>
        <v>0.346</v>
      </c>
      <c r="O21" s="0" t="n">
        <v>0.95</v>
      </c>
      <c r="P21" s="0" t="n">
        <v>29.1</v>
      </c>
      <c r="S21" s="2" t="n">
        <f aca="false">O21*P21</f>
        <v>27.645</v>
      </c>
      <c r="T21" s="2" t="n">
        <f aca="false">O21*$K$4+P21*$J$4</f>
        <v>0.386</v>
      </c>
    </row>
    <row r="22" customFormat="false" ht="14.5" hidden="false" customHeight="false" outlineLevel="0" collapsed="false">
      <c r="A22" s="0" t="n">
        <v>1.74</v>
      </c>
      <c r="B22" s="0" t="n">
        <v>21.5</v>
      </c>
      <c r="E22" s="2" t="n">
        <f aca="false">A22*B22</f>
        <v>37.41</v>
      </c>
      <c r="F22" s="2" t="n">
        <f aca="false">A22*$D$4+B22*$C$4</f>
        <v>0.389</v>
      </c>
      <c r="H22" s="0" t="n">
        <v>1.24</v>
      </c>
      <c r="I22" s="0" t="n">
        <v>21.4</v>
      </c>
      <c r="L22" s="2" t="n">
        <f aca="false">H22*I22</f>
        <v>26.536</v>
      </c>
      <c r="M22" s="2" t="n">
        <f aca="false">H22*$K$4+I22*$J$4</f>
        <v>0.338</v>
      </c>
      <c r="O22" s="0" t="n">
        <v>0.39</v>
      </c>
      <c r="P22" s="0" t="n">
        <v>29.4</v>
      </c>
      <c r="S22" s="2" t="n">
        <f aca="false">O22*P22</f>
        <v>11.466</v>
      </c>
      <c r="T22" s="2" t="n">
        <f aca="false">O22*$K$4+P22*$J$4</f>
        <v>0.333</v>
      </c>
    </row>
    <row r="23" customFormat="false" ht="14.5" hidden="false" customHeight="false" outlineLevel="0" collapsed="false">
      <c r="A23" s="0" t="n">
        <v>1.55</v>
      </c>
      <c r="B23" s="0" t="n">
        <v>26.7</v>
      </c>
      <c r="E23" s="7" t="n">
        <f aca="false">A23*B23</f>
        <v>41.385</v>
      </c>
      <c r="F23" s="2" t="n">
        <f aca="false">A23*$D$4+B23*$C$4</f>
        <v>0.422</v>
      </c>
      <c r="H23" s="0" t="n">
        <v>0.96</v>
      </c>
      <c r="I23" s="0" t="n">
        <v>21.9</v>
      </c>
      <c r="L23" s="2" t="n">
        <f aca="false">H23*I23</f>
        <v>21.024</v>
      </c>
      <c r="M23" s="2" t="n">
        <f aca="false">H23*$K$4+I23*$J$4</f>
        <v>0.315</v>
      </c>
      <c r="O23" s="0" t="n">
        <v>0</v>
      </c>
      <c r="P23" s="0" t="n">
        <v>29.5</v>
      </c>
      <c r="S23" s="2" t="n">
        <f aca="false">O23*P23</f>
        <v>0</v>
      </c>
      <c r="T23" s="2" t="n">
        <f aca="false">O23*$K$4+P23*$J$4</f>
        <v>0.295</v>
      </c>
    </row>
    <row r="24" customFormat="false" ht="14.5" hidden="false" customHeight="false" outlineLevel="0" collapsed="false">
      <c r="A24" s="0" t="n">
        <v>1.42</v>
      </c>
      <c r="B24" s="0" t="n">
        <v>29</v>
      </c>
      <c r="E24" s="2" t="n">
        <f aca="false">A24*B24</f>
        <v>41.18</v>
      </c>
      <c r="F24" s="2" t="n">
        <f aca="false">A24*$D$4+B24*$C$4</f>
        <v>0.432</v>
      </c>
      <c r="H24" s="0" t="n">
        <v>0.47</v>
      </c>
      <c r="I24" s="0" t="n">
        <v>22.1</v>
      </c>
      <c r="L24" s="2" t="n">
        <f aca="false">H24*I24</f>
        <v>10.387</v>
      </c>
      <c r="M24" s="2" t="n">
        <f aca="false">H24*$K$4+I24*$J$4</f>
        <v>0.268</v>
      </c>
    </row>
    <row r="25" customFormat="false" ht="14.5" hidden="false" customHeight="false" outlineLevel="0" collapsed="false">
      <c r="A25" s="0" t="n">
        <v>1.17</v>
      </c>
      <c r="B25" s="0" t="n">
        <v>30.3</v>
      </c>
      <c r="E25" s="2" t="n">
        <f aca="false">A25*B25</f>
        <v>35.451</v>
      </c>
      <c r="F25" s="2" t="n">
        <f aca="false">A25*$D$4+B25*$C$4</f>
        <v>0.42</v>
      </c>
      <c r="H25" s="0" t="n">
        <v>0</v>
      </c>
      <c r="I25" s="0" t="n">
        <v>22.2</v>
      </c>
      <c r="L25" s="2" t="n">
        <f aca="false">H25*I25</f>
        <v>0</v>
      </c>
      <c r="M25" s="2" t="n">
        <f aca="false">H25*$K$4+I25*$J$4</f>
        <v>0.222</v>
      </c>
    </row>
    <row r="26" customFormat="false" ht="14.5" hidden="false" customHeight="false" outlineLevel="0" collapsed="false">
      <c r="A26" s="0" t="n">
        <v>0.86</v>
      </c>
      <c r="B26" s="0" t="n">
        <v>31.6</v>
      </c>
      <c r="E26" s="2" t="n">
        <f aca="false">A26*B26</f>
        <v>27.176</v>
      </c>
      <c r="F26" s="2" t="n">
        <f aca="false">A26*$D$4+B26*$C$4</f>
        <v>0.402</v>
      </c>
    </row>
    <row r="27" customFormat="false" ht="14.5" hidden="false" customHeight="false" outlineLevel="0" collapsed="false">
      <c r="A27" s="0" t="n">
        <v>0.64</v>
      </c>
      <c r="B27" s="0" t="n">
        <v>31.7</v>
      </c>
      <c r="E27" s="2" t="n">
        <f aca="false">A27*B27</f>
        <v>20.288</v>
      </c>
      <c r="F27" s="2" t="n">
        <f aca="false">A27*$D$4+B27*$C$4</f>
        <v>0.381</v>
      </c>
      <c r="H27" s="0" t="s">
        <v>68</v>
      </c>
      <c r="O27" s="0" t="s">
        <v>69</v>
      </c>
    </row>
    <row r="28" customFormat="false" ht="14.5" hidden="false" customHeight="false" outlineLevel="0" collapsed="false">
      <c r="A28" s="0" t="n">
        <v>0.46</v>
      </c>
      <c r="B28" s="0" t="n">
        <v>31.7</v>
      </c>
      <c r="E28" s="2" t="n">
        <f aca="false">A28*B28</f>
        <v>14.582</v>
      </c>
      <c r="F28" s="2" t="n">
        <f aca="false">A28*$D$4+B28*$C$4</f>
        <v>0.363</v>
      </c>
      <c r="H28" s="0" t="s">
        <v>70</v>
      </c>
      <c r="O28" s="0" t="s">
        <v>71</v>
      </c>
    </row>
    <row r="29" customFormat="false" ht="14.5" hidden="false" customHeight="false" outlineLevel="0" collapsed="false">
      <c r="A29" s="0" t="n">
        <v>0</v>
      </c>
      <c r="B29" s="0" t="n">
        <v>31.8</v>
      </c>
      <c r="E29" s="2" t="n">
        <f aca="false">A29*B29</f>
        <v>0</v>
      </c>
      <c r="F29" s="2" t="n">
        <f aca="false">A29*$D$4+B29*$C$4</f>
        <v>0.318</v>
      </c>
      <c r="H29" s="0" t="s">
        <v>72</v>
      </c>
      <c r="O29" s="0" t="s">
        <v>73</v>
      </c>
    </row>
    <row r="30" customFormat="false" ht="14.5" hidden="false" customHeight="false" outlineLevel="0" collapsed="false">
      <c r="O30" s="0" t="s">
        <v>74</v>
      </c>
      <c r="P30" s="0" t="n">
        <v>50</v>
      </c>
      <c r="Q30" s="0" t="s">
        <v>75</v>
      </c>
    </row>
    <row r="31" customFormat="false" ht="14.5" hidden="false" customHeight="false" outlineLevel="0" collapsed="false">
      <c r="O31" s="0" t="s">
        <v>76</v>
      </c>
      <c r="P31" s="0" t="n">
        <f aca="false">P30*8/1000</f>
        <v>0.4</v>
      </c>
      <c r="Q31" s="0" t="s">
        <v>77</v>
      </c>
    </row>
    <row r="32" customFormat="false" ht="14.5" hidden="false" customHeight="false" outlineLevel="0" collapsed="false">
      <c r="O32" s="0" t="s">
        <v>78</v>
      </c>
      <c r="P32" s="0" t="n">
        <f aca="false">A4-O4</f>
        <v>0.0499999999999998</v>
      </c>
      <c r="Q32" s="0" t="s">
        <v>2</v>
      </c>
      <c r="R32" s="0" t="n">
        <f aca="false">P32/50</f>
        <v>0.000999999999999996</v>
      </c>
      <c r="S32" s="0" t="s">
        <v>79</v>
      </c>
    </row>
    <row r="33" customFormat="false" ht="14.5" hidden="false" customHeight="false" outlineLevel="0" collapsed="false">
      <c r="H33" s="0" t="n">
        <f aca="false">I25/B29</f>
        <v>0.69811320754717</v>
      </c>
      <c r="O33" s="0" t="n">
        <f aca="false">O4/A4</f>
        <v>0.975369458128079</v>
      </c>
      <c r="R33" s="0" t="n">
        <f aca="false">J4/P30+P32*1/P30^2</f>
        <v>0.00022</v>
      </c>
      <c r="S33" s="0" t="n">
        <f aca="false">R33*1000</f>
        <v>0.22</v>
      </c>
    </row>
    <row r="38" customFormat="false" ht="13.8" hidden="false" customHeight="false" outlineLevel="0" collapsed="false">
      <c r="B38" s="0" t="s">
        <v>26</v>
      </c>
      <c r="C38" s="0" t="s">
        <v>27</v>
      </c>
      <c r="D38" s="0" t="s">
        <v>32</v>
      </c>
      <c r="E38" s="0" t="s">
        <v>33</v>
      </c>
      <c r="F38" s="0" t="s">
        <v>34</v>
      </c>
      <c r="G38" s="0" t="s">
        <v>35</v>
      </c>
      <c r="H38" s="0" t="s">
        <v>36</v>
      </c>
      <c r="I38" s="0" t="s">
        <v>37</v>
      </c>
    </row>
    <row r="39" customFormat="false" ht="13.8" hidden="false" customHeight="false" outlineLevel="0" collapsed="false">
      <c r="A39" s="0" t="s">
        <v>80</v>
      </c>
      <c r="B39" s="0" t="n">
        <v>29.9</v>
      </c>
      <c r="C39" s="0" t="n">
        <v>0.3</v>
      </c>
      <c r="D39" s="4" t="n">
        <v>0.9165</v>
      </c>
      <c r="E39" s="0" t="n">
        <v>0.002</v>
      </c>
      <c r="F39" s="5" t="n">
        <f aca="false">(B39/1000)/D39</f>
        <v>0.0326241134751773</v>
      </c>
      <c r="G39" s="5" t="n">
        <f aca="false">C39/(1000*D39)+(B39*E39/(1000*D39^2))</f>
        <v>0.000398525070322264</v>
      </c>
      <c r="H39" s="3" t="n">
        <f aca="false">F39*100</f>
        <v>3.26241134751773</v>
      </c>
      <c r="I39" s="3" t="n">
        <f aca="false">G39*100</f>
        <v>0.0398525070322264</v>
      </c>
    </row>
    <row r="40" customFormat="false" ht="13.8" hidden="false" customHeight="false" outlineLevel="0" collapsed="false">
      <c r="A40" s="0" t="s">
        <v>81</v>
      </c>
      <c r="B40" s="0" t="n">
        <v>37.1</v>
      </c>
      <c r="C40" s="0" t="n">
        <v>0.4</v>
      </c>
      <c r="D40" s="4" t="n">
        <v>0.9165</v>
      </c>
      <c r="E40" s="0" t="n">
        <v>0.002</v>
      </c>
      <c r="F40" s="5" t="n">
        <f aca="false">(B40/1000)/D40</f>
        <v>0.0404800872885979</v>
      </c>
      <c r="G40" s="5" t="n">
        <f aca="false">C40/(1000*D40)+(B40*E40/(1000*D40^2))</f>
        <v>0.000524779241218981</v>
      </c>
      <c r="H40" s="3" t="n">
        <f aca="false">F40*100</f>
        <v>4.04800872885979</v>
      </c>
      <c r="I40" s="3" t="n">
        <f aca="false">G40*100</f>
        <v>0.0524779241218981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8" activeCellId="0" sqref="F18"/>
    </sheetView>
  </sheetViews>
  <sheetFormatPr defaultColWidth="8.73046875" defaultRowHeight="14.5" zeroHeight="false" outlineLevelRow="0" outlineLevelCol="0"/>
  <cols>
    <col collapsed="false" customWidth="true" hidden="false" outlineLevel="0" max="5" min="5" style="0" width="11.43"/>
    <col collapsed="false" customWidth="true" hidden="false" outlineLevel="0" max="8" min="8" style="0" width="12.82"/>
    <col collapsed="false" customWidth="true" hidden="false" outlineLevel="0" max="10" min="10" style="0" width="12.82"/>
  </cols>
  <sheetData>
    <row r="1" customFormat="false" ht="14.5" hidden="false" customHeight="false" outlineLevel="0" collapsed="false">
      <c r="A1" s="0" t="s">
        <v>82</v>
      </c>
      <c r="F1" s="0" t="s">
        <v>13</v>
      </c>
      <c r="H1" s="0" t="s">
        <v>56</v>
      </c>
    </row>
    <row r="2" customFormat="false" ht="14.5" hidden="false" customHeight="false" outlineLevel="0" collapsed="false">
      <c r="C2" s="0" t="n">
        <f aca="false">25.9*0.001</f>
        <v>0.0259</v>
      </c>
      <c r="F2" s="0" t="n">
        <f aca="false">22.69*0.000001</f>
        <v>2.269E-005</v>
      </c>
      <c r="H2" s="0" t="n">
        <f aca="false">C2/F2</f>
        <v>1141.47201410313</v>
      </c>
      <c r="I2" s="0" t="s">
        <v>83</v>
      </c>
    </row>
    <row r="3" customFormat="false" ht="14.5" hidden="false" customHeight="false" outlineLevel="0" collapsed="false">
      <c r="A3" s="0" t="s">
        <v>84</v>
      </c>
      <c r="C3" s="0" t="s">
        <v>0</v>
      </c>
      <c r="D3" s="0" t="s">
        <v>43</v>
      </c>
      <c r="E3" s="0" t="s">
        <v>49</v>
      </c>
      <c r="F3" s="0" t="s">
        <v>27</v>
      </c>
      <c r="G3" s="0" t="s">
        <v>19</v>
      </c>
      <c r="H3" s="0" t="n">
        <f aca="false">0.0001/F2</f>
        <v>4.40722785368004</v>
      </c>
    </row>
    <row r="4" customFormat="false" ht="14.5" hidden="false" customHeight="false" outlineLevel="0" collapsed="false">
      <c r="A4" s="0" t="n">
        <v>2.31</v>
      </c>
      <c r="B4" s="0" t="n">
        <v>7</v>
      </c>
      <c r="C4" s="0" t="n">
        <v>0.01</v>
      </c>
      <c r="D4" s="0" t="n">
        <v>0.1</v>
      </c>
      <c r="E4" s="2" t="n">
        <f aca="false">A4*B4</f>
        <v>16.17</v>
      </c>
      <c r="F4" s="2" t="n">
        <f aca="false">A4*$D$4+B4*$C$4</f>
        <v>0.301</v>
      </c>
    </row>
    <row r="5" customFormat="false" ht="14.5" hidden="false" customHeight="false" outlineLevel="0" collapsed="false">
      <c r="A5" s="0" t="n">
        <v>2.31</v>
      </c>
      <c r="B5" s="0" t="n">
        <v>8.8</v>
      </c>
      <c r="E5" s="2" t="n">
        <f aca="false">A5*B5</f>
        <v>20.328</v>
      </c>
      <c r="F5" s="2" t="n">
        <f aca="false">A5*$D$4+B5*$C$4</f>
        <v>0.319</v>
      </c>
    </row>
    <row r="6" customFormat="false" ht="14.5" hidden="false" customHeight="false" outlineLevel="0" collapsed="false">
      <c r="A6" s="0" t="n">
        <v>2.3</v>
      </c>
      <c r="B6" s="0" t="n">
        <v>12.2</v>
      </c>
      <c r="E6" s="2" t="n">
        <f aca="false">A6*B6</f>
        <v>28.06</v>
      </c>
      <c r="F6" s="2" t="n">
        <f aca="false">A6*$D$4+B6*$C$4</f>
        <v>0.352</v>
      </c>
    </row>
    <row r="7" customFormat="false" ht="14.5" hidden="false" customHeight="false" outlineLevel="0" collapsed="false">
      <c r="A7" s="0" t="n">
        <v>2.3</v>
      </c>
      <c r="B7" s="0" t="n">
        <v>18.6</v>
      </c>
      <c r="E7" s="2" t="n">
        <f aca="false">A7*B7</f>
        <v>42.78</v>
      </c>
      <c r="F7" s="2" t="n">
        <f aca="false">A7*$D$4+B7*$C$4</f>
        <v>0.416</v>
      </c>
    </row>
    <row r="8" customFormat="false" ht="14.5" hidden="false" customHeight="false" outlineLevel="0" collapsed="false">
      <c r="A8" s="0" t="n">
        <v>2.29</v>
      </c>
      <c r="B8" s="0" t="n">
        <v>27</v>
      </c>
      <c r="E8" s="2" t="n">
        <f aca="false">A8*B8</f>
        <v>61.83</v>
      </c>
      <c r="F8" s="2" t="n">
        <f aca="false">A8*$D$4+B8*$C$4</f>
        <v>0.499</v>
      </c>
    </row>
    <row r="9" customFormat="false" ht="14.5" hidden="false" customHeight="false" outlineLevel="0" collapsed="false">
      <c r="A9" s="0" t="n">
        <v>2.28</v>
      </c>
      <c r="B9" s="0" t="n">
        <v>47.4</v>
      </c>
      <c r="E9" s="2" t="n">
        <f aca="false">A9*B9</f>
        <v>108.072</v>
      </c>
      <c r="F9" s="2" t="n">
        <f aca="false">A9*$D$4+B9*$C$4</f>
        <v>0.702</v>
      </c>
    </row>
    <row r="10" customFormat="false" ht="14.5" hidden="false" customHeight="false" outlineLevel="0" collapsed="false">
      <c r="A10" s="0" t="n">
        <v>2.27</v>
      </c>
      <c r="B10" s="0" t="n">
        <v>72.3</v>
      </c>
      <c r="E10" s="2" t="n">
        <f aca="false">A10*B10</f>
        <v>164.121</v>
      </c>
      <c r="F10" s="2" t="n">
        <f aca="false">A10*$D$4+B10*$C$4</f>
        <v>0.95</v>
      </c>
    </row>
    <row r="11" customFormat="false" ht="14.5" hidden="false" customHeight="false" outlineLevel="0" collapsed="false">
      <c r="A11" s="0" t="n">
        <v>2.25</v>
      </c>
      <c r="B11" s="0" t="n">
        <v>92.6</v>
      </c>
      <c r="E11" s="2" t="n">
        <f aca="false">A11*B11</f>
        <v>208.35</v>
      </c>
      <c r="F11" s="2" t="n">
        <f aca="false">A11*$D$4+B11*$C$4</f>
        <v>1.151</v>
      </c>
    </row>
    <row r="12" customFormat="false" ht="14.5" hidden="false" customHeight="false" outlineLevel="0" collapsed="false">
      <c r="A12" s="0" t="n">
        <v>2.23</v>
      </c>
      <c r="B12" s="0" t="n">
        <v>125.6</v>
      </c>
      <c r="E12" s="2" t="n">
        <f aca="false">A12*B12</f>
        <v>280.088</v>
      </c>
      <c r="F12" s="2" t="n">
        <f aca="false">A12*$D$4+B12*$C$4</f>
        <v>1.479</v>
      </c>
    </row>
    <row r="13" customFormat="false" ht="14.5" hidden="false" customHeight="false" outlineLevel="0" collapsed="false">
      <c r="A13" s="0" t="n">
        <v>2.21</v>
      </c>
      <c r="B13" s="0" t="n">
        <v>151.5</v>
      </c>
      <c r="E13" s="2" t="n">
        <f aca="false">A13*B13</f>
        <v>334.815</v>
      </c>
      <c r="F13" s="2" t="n">
        <f aca="false">A13*$D$4+B13*$C$4</f>
        <v>1.736</v>
      </c>
    </row>
    <row r="14" customFormat="false" ht="14.5" hidden="false" customHeight="false" outlineLevel="0" collapsed="false">
      <c r="A14" s="0" t="n">
        <v>2.2</v>
      </c>
      <c r="B14" s="0" t="n">
        <v>160</v>
      </c>
      <c r="E14" s="2" t="n">
        <f aca="false">A14*B14</f>
        <v>352</v>
      </c>
      <c r="F14" s="2" t="n">
        <f aca="false">A14*$D$4+B14*$C$4</f>
        <v>1.82</v>
      </c>
    </row>
    <row r="15" customFormat="false" ht="14.5" hidden="false" customHeight="false" outlineLevel="0" collapsed="false">
      <c r="A15" s="0" t="n">
        <v>2.17</v>
      </c>
      <c r="B15" s="0" t="n">
        <v>194</v>
      </c>
      <c r="E15" s="2" t="n">
        <f aca="false">A15*B15</f>
        <v>420.98</v>
      </c>
      <c r="F15" s="2" t="n">
        <f aca="false">A15*$D$4+B15*$C$4</f>
        <v>2.157</v>
      </c>
    </row>
    <row r="16" customFormat="false" ht="14.5" hidden="false" customHeight="false" outlineLevel="0" collapsed="false">
      <c r="A16" s="0" t="n">
        <v>2.07</v>
      </c>
      <c r="B16" s="0" t="n">
        <v>270</v>
      </c>
      <c r="E16" s="2" t="n">
        <f aca="false">A16*B16</f>
        <v>558.9</v>
      </c>
      <c r="F16" s="2" t="n">
        <f aca="false">A16*$D$4+B16*$C$4</f>
        <v>2.907</v>
      </c>
    </row>
    <row r="17" customFormat="false" ht="14.5" hidden="false" customHeight="false" outlineLevel="0" collapsed="false">
      <c r="A17" s="0" t="n">
        <v>2.02</v>
      </c>
      <c r="B17" s="0" t="n">
        <v>300</v>
      </c>
      <c r="E17" s="2" t="n">
        <f aca="false">A17*B17</f>
        <v>606</v>
      </c>
      <c r="F17" s="2" t="n">
        <f aca="false">A17*$D$4+B17*$C$4</f>
        <v>3.202</v>
      </c>
    </row>
    <row r="18" customFormat="false" ht="14.5" hidden="false" customHeight="false" outlineLevel="0" collapsed="false">
      <c r="A18" s="0" t="n">
        <v>1.89</v>
      </c>
      <c r="B18" s="0" t="n">
        <v>350</v>
      </c>
      <c r="E18" s="9" t="n">
        <f aca="false">A18*B18</f>
        <v>661.5</v>
      </c>
      <c r="F18" s="10" t="n">
        <f aca="false">A18*$D$4+B18*$C$4</f>
        <v>3.689</v>
      </c>
    </row>
    <row r="19" customFormat="false" ht="14.5" hidden="false" customHeight="false" outlineLevel="0" collapsed="false">
      <c r="A19" s="0" t="n">
        <v>1.73</v>
      </c>
      <c r="B19" s="0" t="n">
        <v>380</v>
      </c>
      <c r="E19" s="2" t="n">
        <f aca="false">A19*B19</f>
        <v>657.4</v>
      </c>
      <c r="F19" s="2" t="n">
        <f aca="false">A19*$D$4+B19*$C$4</f>
        <v>3.973</v>
      </c>
    </row>
    <row r="20" customFormat="false" ht="14.5" hidden="false" customHeight="false" outlineLevel="0" collapsed="false">
      <c r="A20" s="0" t="n">
        <v>1.49</v>
      </c>
      <c r="B20" s="0" t="n">
        <v>390</v>
      </c>
      <c r="E20" s="2" t="n">
        <f aca="false">A20*B20</f>
        <v>581.1</v>
      </c>
      <c r="F20" s="2" t="n">
        <f aca="false">A20*$D$4+B20*$C$4</f>
        <v>4.049</v>
      </c>
    </row>
    <row r="21" customFormat="false" ht="14.5" hidden="false" customHeight="false" outlineLevel="0" collapsed="false">
      <c r="A21" s="0" t="n">
        <v>0.5</v>
      </c>
      <c r="B21" s="0" t="n">
        <v>390</v>
      </c>
      <c r="E21" s="2" t="n">
        <f aca="false">A21*B21</f>
        <v>195</v>
      </c>
      <c r="F21" s="2" t="n">
        <f aca="false">A21*$D$4+B21*$C$4</f>
        <v>3.95</v>
      </c>
    </row>
    <row r="22" customFormat="false" ht="14.5" hidden="false" customHeight="false" outlineLevel="0" collapsed="false">
      <c r="A22" s="0" t="n">
        <v>0</v>
      </c>
      <c r="B22" s="0" t="n">
        <v>390</v>
      </c>
      <c r="E22" s="2" t="n">
        <f aca="false">A22*B22</f>
        <v>0</v>
      </c>
      <c r="F22" s="2" t="n">
        <f aca="false">A22*$D$4+B22*$C$4</f>
        <v>3.9</v>
      </c>
    </row>
    <row r="25" customFormat="false" ht="14.5" hidden="false" customHeight="false" outlineLevel="0" collapsed="false">
      <c r="A25" s="0" t="s">
        <v>22</v>
      </c>
      <c r="B25" s="0" t="s">
        <v>11</v>
      </c>
      <c r="C25" s="0" t="s">
        <v>23</v>
      </c>
      <c r="D25" s="0" t="s">
        <v>24</v>
      </c>
      <c r="E25" s="0" t="s">
        <v>25</v>
      </c>
      <c r="F25" s="0" t="s">
        <v>0</v>
      </c>
      <c r="G25" s="0" t="s">
        <v>26</v>
      </c>
      <c r="H25" s="0" t="s">
        <v>27</v>
      </c>
      <c r="I25" s="0" t="s">
        <v>32</v>
      </c>
      <c r="J25" s="0" t="s">
        <v>33</v>
      </c>
      <c r="K25" s="0" t="s">
        <v>34</v>
      </c>
      <c r="L25" s="0" t="s">
        <v>35</v>
      </c>
      <c r="M25" s="0" t="s">
        <v>36</v>
      </c>
      <c r="N25" s="0" t="s">
        <v>37</v>
      </c>
    </row>
    <row r="26" customFormat="false" ht="14.5" hidden="false" customHeight="false" outlineLevel="0" collapsed="false">
      <c r="A26" s="2" t="n">
        <v>1141.47201410313</v>
      </c>
      <c r="B26" s="0" t="n">
        <v>0.4</v>
      </c>
      <c r="C26" s="0" t="n">
        <v>390</v>
      </c>
      <c r="D26" s="0" t="n">
        <v>0.1</v>
      </c>
      <c r="E26" s="0" t="n">
        <v>2.31</v>
      </c>
      <c r="F26" s="0" t="n">
        <v>0.01</v>
      </c>
      <c r="G26" s="0" t="n">
        <v>661.5</v>
      </c>
      <c r="H26" s="0" t="n">
        <v>3.689</v>
      </c>
      <c r="I26" s="4" t="n">
        <f aca="false">A26*50/10000</f>
        <v>5.70736007051565</v>
      </c>
      <c r="J26" s="0" t="n">
        <f aca="false">B26*50/10000</f>
        <v>0.002</v>
      </c>
      <c r="K26" s="5" t="n">
        <f aca="false">(G26/1000)/I26</f>
        <v>0.115902972972973</v>
      </c>
      <c r="L26" s="5" t="n">
        <f aca="false">H26/(1000*I26)+(G26*J26/(1000*I26^2))</f>
        <v>0.000686973644119795</v>
      </c>
      <c r="M26" s="3" t="n">
        <f aca="false">K26*100</f>
        <v>11.5902972972973</v>
      </c>
      <c r="N26" s="3" t="n">
        <f aca="false">L26*100</f>
        <v>0.0686973644119795</v>
      </c>
      <c r="O26" s="0" t="s">
        <v>85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LibreOffice/7.3.7.2$Linux_X86_64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2024-03-06T09:28:00Z</dcterms:created>
  <dc:creator>Rafaela Fernandez Atance</dc:creator>
  <dc:description/>
  <dc:language>es-ES</dc:language>
  <cp:lastModifiedBy/>
  <dcterms:modified xsi:type="dcterms:W3CDTF">2024-03-10T20:49:02Z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8D453A4A0E7E4BDEB8F0B868ABAD1C43_13</vt:lpwstr>
  </property>
  <property fmtid="{D5CDD505-2E9C-101B-9397-08002B2CF9AE}" pid="3" name="KSOProductBuildVer">
    <vt:lpwstr>3082-12.2.0.13489</vt:lpwstr>
  </property>
</Properties>
</file>