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V:\26. SPO\2021\13. Ambev On\Conteudos\"/>
    </mc:Choice>
  </mc:AlternateContent>
  <xr:revisionPtr revIDLastSave="0" documentId="13_ncr:1_{CC0DA175-9871-413A-99B9-B7FD3826DED5}" xr6:coauthVersionLast="45" xr6:coauthVersionMax="45" xr10:uidLastSave="{00000000-0000-0000-0000-000000000000}"/>
  <bookViews>
    <workbookView xWindow="-110" yWindow="-110" windowWidth="19420" windowHeight="10420" activeTab="3" xr2:uid="{00000000-000D-0000-FFFF-FFFF00000000}"/>
  </bookViews>
  <sheets>
    <sheet name="Segurança" sheetId="12" r:id="rId1"/>
    <sheet name="Gestão" sheetId="14" r:id="rId2"/>
    <sheet name="Nível de Serviço" sheetId="10" r:id="rId3"/>
    <sheet name="Comercial" sheetId="2" r:id="rId4"/>
  </sheets>
  <definedNames>
    <definedName name="_xlnm._FilterDatabase" localSheetId="3" hidden="1">Comercial!$A$9:$N$42</definedName>
    <definedName name="_xlnm._FilterDatabase" localSheetId="1" hidden="1">Gestão!$A$9:$N$42</definedName>
    <definedName name="_xlnm._FilterDatabase" localSheetId="2" hidden="1">'Nível de Serviço'!$A$14:$N$14</definedName>
    <definedName name="_xlnm._FilterDatabase" localSheetId="0" hidden="1">Segurança!$A$8:$N$30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9" i="2" l="1"/>
  <c r="I19" i="2"/>
  <c r="I22" i="2"/>
  <c r="I30" i="2"/>
  <c r="I34" i="2"/>
  <c r="I38" i="2"/>
  <c r="I11" i="10"/>
  <c r="I19" i="10"/>
  <c r="I25" i="10"/>
  <c r="I29" i="10"/>
  <c r="I39" i="14"/>
  <c r="I33" i="14"/>
  <c r="I30" i="14"/>
  <c r="I26" i="14"/>
  <c r="I23" i="14"/>
  <c r="I20" i="14"/>
  <c r="I17" i="14"/>
  <c r="I12" i="14"/>
  <c r="I9" i="14"/>
  <c r="I15" i="12" l="1"/>
  <c r="I12" i="12"/>
  <c r="I9" i="12"/>
  <c r="I27" i="12"/>
  <c r="K42" i="14" l="1"/>
  <c r="M42" i="14" s="1"/>
  <c r="K41" i="14"/>
  <c r="M41" i="14" s="1"/>
  <c r="K40" i="14"/>
  <c r="K38" i="14"/>
  <c r="M38" i="14" s="1"/>
  <c r="K37" i="14"/>
  <c r="M37" i="14" s="1"/>
  <c r="K36" i="14"/>
  <c r="M36" i="14" s="1"/>
  <c r="K35" i="14"/>
  <c r="M35" i="14" s="1"/>
  <c r="K34" i="14"/>
  <c r="M34" i="14" s="1"/>
  <c r="K32" i="14"/>
  <c r="M32" i="14" s="1"/>
  <c r="K31" i="14"/>
  <c r="K29" i="14"/>
  <c r="M29" i="14" s="1"/>
  <c r="K28" i="14"/>
  <c r="M28" i="14" s="1"/>
  <c r="K27" i="14"/>
  <c r="K25" i="14"/>
  <c r="M25" i="14" s="1"/>
  <c r="K24" i="14"/>
  <c r="K22" i="14"/>
  <c r="M22" i="14" s="1"/>
  <c r="K21" i="14"/>
  <c r="K19" i="14"/>
  <c r="M19" i="14" s="1"/>
  <c r="K18" i="14"/>
  <c r="M18" i="14" s="1"/>
  <c r="K16" i="14"/>
  <c r="M16" i="14" s="1"/>
  <c r="K15" i="14"/>
  <c r="M15" i="14" s="1"/>
  <c r="K14" i="14"/>
  <c r="K13" i="14"/>
  <c r="K11" i="14"/>
  <c r="M11" i="14" s="1"/>
  <c r="K10" i="14"/>
  <c r="I8" i="14"/>
  <c r="M13" i="14" l="1"/>
  <c r="M24" i="14"/>
  <c r="M27" i="14"/>
  <c r="M31" i="14"/>
  <c r="H40" i="14"/>
  <c r="H9" i="14"/>
  <c r="H23" i="14"/>
  <c r="H39" i="14"/>
  <c r="H8" i="14"/>
  <c r="H10" i="14"/>
  <c r="M14" i="14"/>
  <c r="H28" i="14"/>
  <c r="M21" i="14"/>
  <c r="H35" i="14"/>
  <c r="M10" i="14"/>
  <c r="H20" i="14"/>
  <c r="H22" i="14"/>
  <c r="H24" i="14"/>
  <c r="K23" i="14" s="1"/>
  <c r="H11" i="14"/>
  <c r="K9" i="14" s="1"/>
  <c r="H13" i="14"/>
  <c r="H29" i="14"/>
  <c r="H31" i="14"/>
  <c r="K30" i="14" s="1"/>
  <c r="H14" i="14"/>
  <c r="H19" i="14"/>
  <c r="H36" i="14"/>
  <c r="M40" i="14"/>
  <c r="H21" i="14"/>
  <c r="K20" i="14" s="1"/>
  <c r="H15" i="14"/>
  <c r="H33" i="14"/>
  <c r="H16" i="14"/>
  <c r="H18" i="14"/>
  <c r="H25" i="14"/>
  <c r="H27" i="14"/>
  <c r="H41" i="14"/>
  <c r="H12" i="14"/>
  <c r="H30" i="14"/>
  <c r="H32" i="14"/>
  <c r="H34" i="14"/>
  <c r="H37" i="14"/>
  <c r="H42" i="14"/>
  <c r="H17" i="14"/>
  <c r="H26" i="14"/>
  <c r="H38" i="14"/>
  <c r="K30" i="12"/>
  <c r="M30" i="12" s="1"/>
  <c r="K29" i="12"/>
  <c r="M29" i="12" s="1"/>
  <c r="K28" i="12"/>
  <c r="M28" i="12" s="1"/>
  <c r="K26" i="12"/>
  <c r="M26" i="12" s="1"/>
  <c r="K25" i="12"/>
  <c r="M25" i="12" s="1"/>
  <c r="I24" i="12"/>
  <c r="K23" i="12"/>
  <c r="M23" i="12" s="1"/>
  <c r="K22" i="12"/>
  <c r="M22" i="12" s="1"/>
  <c r="I21" i="12"/>
  <c r="K20" i="12"/>
  <c r="M20" i="12" s="1"/>
  <c r="I19" i="12"/>
  <c r="K18" i="12"/>
  <c r="M18" i="12" s="1"/>
  <c r="K17" i="12"/>
  <c r="M17" i="12" s="1"/>
  <c r="K16" i="12"/>
  <c r="M16" i="12" s="1"/>
  <c r="K14" i="12"/>
  <c r="M14" i="12" s="1"/>
  <c r="K13" i="12"/>
  <c r="M13" i="12" s="1"/>
  <c r="K11" i="12"/>
  <c r="M11" i="12" s="1"/>
  <c r="K10" i="12"/>
  <c r="M10" i="12" s="1"/>
  <c r="K39" i="14" l="1"/>
  <c r="L39" i="14" s="1"/>
  <c r="I8" i="12"/>
  <c r="K12" i="14"/>
  <c r="M12" i="14" s="1"/>
  <c r="K26" i="14"/>
  <c r="M26" i="14" s="1"/>
  <c r="K17" i="14"/>
  <c r="M17" i="14" s="1"/>
  <c r="L23" i="14"/>
  <c r="L20" i="14"/>
  <c r="M9" i="14"/>
  <c r="K33" i="14"/>
  <c r="L33" i="14" s="1"/>
  <c r="M30" i="14"/>
  <c r="L30" i="14"/>
  <c r="K31" i="10"/>
  <c r="M31" i="10" s="1"/>
  <c r="M39" i="14" l="1"/>
  <c r="L12" i="14"/>
  <c r="L26" i="14"/>
  <c r="L17" i="14"/>
  <c r="M23" i="14"/>
  <c r="L9" i="14"/>
  <c r="M33" i="14"/>
  <c r="H10" i="12"/>
  <c r="K9" i="12" s="1"/>
  <c r="H15" i="12"/>
  <c r="H27" i="12"/>
  <c r="H16" i="12"/>
  <c r="M20" i="14"/>
  <c r="H17" i="12"/>
  <c r="H13" i="12"/>
  <c r="H11" i="12"/>
  <c r="H9" i="12"/>
  <c r="H29" i="12"/>
  <c r="H28" i="12"/>
  <c r="H26" i="12"/>
  <c r="H24" i="12"/>
  <c r="H25" i="12"/>
  <c r="H20" i="12"/>
  <c r="K19" i="12" s="1"/>
  <c r="H18" i="12"/>
  <c r="H22" i="12"/>
  <c r="H19" i="12"/>
  <c r="H30" i="12"/>
  <c r="H14" i="12"/>
  <c r="H23" i="12"/>
  <c r="H21" i="12"/>
  <c r="H12" i="12"/>
  <c r="K35" i="10"/>
  <c r="M35" i="10" s="1"/>
  <c r="K34" i="10"/>
  <c r="M34" i="10" s="1"/>
  <c r="K33" i="10"/>
  <c r="K32" i="10"/>
  <c r="M32" i="10" s="1"/>
  <c r="K30" i="10"/>
  <c r="M30" i="10" s="1"/>
  <c r="K28" i="10"/>
  <c r="M28" i="10" s="1"/>
  <c r="K27" i="10"/>
  <c r="M27" i="10" s="1"/>
  <c r="K26" i="10"/>
  <c r="M26" i="10" s="1"/>
  <c r="K24" i="10"/>
  <c r="M24" i="10" s="1"/>
  <c r="K23" i="10"/>
  <c r="M23" i="10" s="1"/>
  <c r="K22" i="10"/>
  <c r="M22" i="10" s="1"/>
  <c r="K21" i="10"/>
  <c r="M21" i="10" s="1"/>
  <c r="K20" i="10"/>
  <c r="M20" i="10" s="1"/>
  <c r="K18" i="10"/>
  <c r="M18" i="10" s="1"/>
  <c r="K17" i="10"/>
  <c r="M17" i="10" s="1"/>
  <c r="K16" i="10"/>
  <c r="M16" i="10" s="1"/>
  <c r="K15" i="10"/>
  <c r="M15" i="10" s="1"/>
  <c r="K14" i="10"/>
  <c r="M14" i="10" s="1"/>
  <c r="K13" i="10"/>
  <c r="M13" i="10" s="1"/>
  <c r="K12" i="10"/>
  <c r="M12" i="10" s="1"/>
  <c r="K10" i="10"/>
  <c r="M10" i="10" s="1"/>
  <c r="I9" i="10"/>
  <c r="K8" i="14" l="1"/>
  <c r="M8" i="14" s="1"/>
  <c r="K27" i="12"/>
  <c r="K15" i="12"/>
  <c r="K24" i="12"/>
  <c r="M24" i="12" s="1"/>
  <c r="K21" i="12"/>
  <c r="L21" i="12" s="1"/>
  <c r="K12" i="12"/>
  <c r="L12" i="12" s="1"/>
  <c r="H8" i="12"/>
  <c r="M9" i="12"/>
  <c r="M19" i="12"/>
  <c r="L19" i="12"/>
  <c r="I8" i="10"/>
  <c r="M33" i="10"/>
  <c r="L8" i="14" l="1"/>
  <c r="L15" i="12"/>
  <c r="M15" i="12"/>
  <c r="L27" i="12"/>
  <c r="M27" i="12"/>
  <c r="L24" i="12"/>
  <c r="M21" i="12"/>
  <c r="L9" i="12"/>
  <c r="M12" i="12"/>
  <c r="H29" i="10"/>
  <c r="H31" i="10"/>
  <c r="H26" i="10"/>
  <c r="H9" i="10"/>
  <c r="H11" i="10"/>
  <c r="H34" i="10"/>
  <c r="H15" i="10"/>
  <c r="H14" i="10"/>
  <c r="H25" i="10"/>
  <c r="H32" i="10"/>
  <c r="H16" i="10"/>
  <c r="H24" i="10"/>
  <c r="H27" i="10"/>
  <c r="H18" i="10"/>
  <c r="H23" i="10"/>
  <c r="H12" i="10"/>
  <c r="H20" i="10"/>
  <c r="H17" i="10"/>
  <c r="H13" i="10"/>
  <c r="H10" i="10"/>
  <c r="K9" i="10" s="1"/>
  <c r="M9" i="10" s="1"/>
  <c r="H19" i="10"/>
  <c r="H28" i="10"/>
  <c r="H22" i="10"/>
  <c r="H33" i="10"/>
  <c r="H21" i="10"/>
  <c r="H30" i="10"/>
  <c r="H35" i="10"/>
  <c r="K8" i="12" l="1"/>
  <c r="M8" i="12" s="1"/>
  <c r="K11" i="10"/>
  <c r="M11" i="10" s="1"/>
  <c r="K25" i="10"/>
  <c r="M25" i="10" s="1"/>
  <c r="K29" i="10"/>
  <c r="L29" i="10" s="1"/>
  <c r="K19" i="10"/>
  <c r="M19" i="10" s="1"/>
  <c r="H8" i="10"/>
  <c r="L9" i="10"/>
  <c r="L8" i="12" l="1"/>
  <c r="L25" i="10"/>
  <c r="L11" i="10"/>
  <c r="L19" i="10"/>
  <c r="M29" i="10"/>
  <c r="K8" i="10" s="1"/>
  <c r="L8" i="10" s="1"/>
  <c r="M8" i="10" l="1"/>
  <c r="K18" i="2"/>
  <c r="M18" i="2" s="1"/>
  <c r="I8" i="2" l="1"/>
  <c r="H14" i="2" l="1"/>
  <c r="H18" i="2"/>
  <c r="H10" i="2"/>
  <c r="H11" i="2"/>
  <c r="H12" i="2"/>
  <c r="H21" i="2"/>
  <c r="H26" i="2"/>
  <c r="H28" i="2"/>
  <c r="H17" i="2"/>
  <c r="H24" i="2"/>
  <c r="H34" i="2"/>
  <c r="H20" i="2"/>
  <c r="H22" i="2"/>
  <c r="H37" i="2"/>
  <c r="H23" i="2"/>
  <c r="H27" i="2"/>
  <c r="H15" i="2"/>
  <c r="H36" i="2"/>
  <c r="H38" i="2"/>
  <c r="H32" i="2"/>
  <c r="H13" i="2"/>
  <c r="H31" i="2"/>
  <c r="H35" i="2"/>
  <c r="H40" i="2"/>
  <c r="H9" i="2"/>
  <c r="H16" i="2"/>
  <c r="H19" i="2"/>
  <c r="H33" i="2"/>
  <c r="H29" i="2"/>
  <c r="H30" i="2"/>
  <c r="H42" i="2"/>
  <c r="H25" i="2"/>
  <c r="H39" i="2"/>
  <c r="H41" i="2"/>
  <c r="H8" i="2" l="1"/>
  <c r="K42" i="2"/>
  <c r="M42" i="2" s="1"/>
  <c r="K41" i="2"/>
  <c r="M41" i="2" s="1"/>
  <c r="K40" i="2"/>
  <c r="M40" i="2" s="1"/>
  <c r="K39" i="2"/>
  <c r="M39" i="2" s="1"/>
  <c r="K37" i="2"/>
  <c r="M37" i="2" s="1"/>
  <c r="K36" i="2"/>
  <c r="M36" i="2" s="1"/>
  <c r="K35" i="2"/>
  <c r="K33" i="2"/>
  <c r="M33" i="2" s="1"/>
  <c r="K32" i="2"/>
  <c r="M32" i="2" s="1"/>
  <c r="K31" i="2"/>
  <c r="K29" i="2"/>
  <c r="M29" i="2" s="1"/>
  <c r="K28" i="2"/>
  <c r="M28" i="2" s="1"/>
  <c r="K27" i="2"/>
  <c r="M27" i="2" s="1"/>
  <c r="K26" i="2"/>
  <c r="M26" i="2" s="1"/>
  <c r="K25" i="2"/>
  <c r="M25" i="2" s="1"/>
  <c r="K24" i="2"/>
  <c r="M24" i="2" s="1"/>
  <c r="K23" i="2"/>
  <c r="K21" i="2"/>
  <c r="M21" i="2" s="1"/>
  <c r="K20" i="2"/>
  <c r="K17" i="2"/>
  <c r="M17" i="2" s="1"/>
  <c r="K16" i="2"/>
  <c r="M16" i="2" s="1"/>
  <c r="K15" i="2"/>
  <c r="M15" i="2" s="1"/>
  <c r="K14" i="2"/>
  <c r="M14" i="2" s="1"/>
  <c r="K13" i="2"/>
  <c r="M13" i="2" s="1"/>
  <c r="K12" i="2"/>
  <c r="M12" i="2" s="1"/>
  <c r="K11" i="2"/>
  <c r="M11" i="2" s="1"/>
  <c r="K10" i="2"/>
  <c r="K19" i="2" l="1"/>
  <c r="M31" i="2"/>
  <c r="K30" i="2"/>
  <c r="M30" i="2" s="1"/>
  <c r="K9" i="2"/>
  <c r="M35" i="2"/>
  <c r="K34" i="2"/>
  <c r="M23" i="2"/>
  <c r="K22" i="2"/>
  <c r="M20" i="2"/>
  <c r="M10" i="2"/>
  <c r="K38" i="2" l="1"/>
  <c r="M38" i="2" s="1"/>
  <c r="L19" i="2"/>
  <c r="M19" i="2"/>
  <c r="L38" i="2" l="1"/>
  <c r="L30" i="2"/>
  <c r="M9" i="2"/>
  <c r="L9" i="2"/>
  <c r="M34" i="2"/>
  <c r="L34" i="2"/>
  <c r="M22" i="2"/>
  <c r="L22" i="2"/>
  <c r="K8" i="2" l="1"/>
  <c r="M8" i="2" s="1"/>
  <c r="L8" i="2" l="1"/>
</calcChain>
</file>

<file path=xl/sharedStrings.xml><?xml version="1.0" encoding="utf-8"?>
<sst xmlns="http://schemas.openxmlformats.org/spreadsheetml/2006/main" count="542" uniqueCount="350">
  <si>
    <t>N°</t>
  </si>
  <si>
    <t>Questão</t>
  </si>
  <si>
    <t>Verificação</t>
  </si>
  <si>
    <t>Pontuação</t>
  </si>
  <si>
    <t>PILAR NÍVEL DE SERVIÇO</t>
  </si>
  <si>
    <t>ROTINA</t>
  </si>
  <si>
    <t>VISITA</t>
  </si>
  <si>
    <t>GESTÃO DE EQUIPAMENTOS</t>
  </si>
  <si>
    <t>LOGÍSTICA</t>
  </si>
  <si>
    <t>SATISFAÇÃO DO CLIENTE</t>
  </si>
  <si>
    <t>PILAR SEGURANÇA</t>
  </si>
  <si>
    <t>GESTÃO DE INVESTIGAÇÃO E NOTIFICAÇÃO DE ACIDENTES</t>
  </si>
  <si>
    <t>Investigação de Acidentes</t>
  </si>
  <si>
    <t>Relatos de Incidentes</t>
  </si>
  <si>
    <t>EPI e EPC</t>
  </si>
  <si>
    <t>EPI</t>
  </si>
  <si>
    <t>EPC</t>
  </si>
  <si>
    <t>SEGURANÇA DO CONDUTOR</t>
  </si>
  <si>
    <t>Telemetria</t>
  </si>
  <si>
    <t>Trajeto</t>
  </si>
  <si>
    <t>AVALIAÇÃO DE RISCO INTERNO E EXTERNO</t>
  </si>
  <si>
    <t>REQUISITOS LEGAIS E DE CONTRATADAS</t>
  </si>
  <si>
    <t>Gestão de Contratadas</t>
  </si>
  <si>
    <t>GED</t>
  </si>
  <si>
    <t>TREINAMENTOS OBRIGATORIOS</t>
  </si>
  <si>
    <t>Reunião de Segurança</t>
  </si>
  <si>
    <t>Monitoramento de Segurança</t>
  </si>
  <si>
    <t>Comportamento da Liderança</t>
  </si>
  <si>
    <t>Comunicação</t>
  </si>
  <si>
    <t>GESTÃO DA ROTINA</t>
  </si>
  <si>
    <t>GENTE NO FOCO</t>
  </si>
  <si>
    <t>Turnover</t>
  </si>
  <si>
    <t>Banco de horas</t>
  </si>
  <si>
    <t>Folgas e férias</t>
  </si>
  <si>
    <t>ATRAÇÃO &amp; DESENVOLVIMENTO</t>
  </si>
  <si>
    <t>Recrutamento e Seleção</t>
  </si>
  <si>
    <t>EXCELÊNCIA &amp; REPUTAÇÃO</t>
  </si>
  <si>
    <t>DIVERSIDADE &amp; INCLUSÃO</t>
  </si>
  <si>
    <t>ADMINISTRATIVO &amp; VENDAS</t>
  </si>
  <si>
    <t>Treinamentos Obrigatórios</t>
  </si>
  <si>
    <t>Rota Crítica</t>
  </si>
  <si>
    <t>PILAR GESTÃO</t>
  </si>
  <si>
    <t>RISCOS E ESTRUTURA PATRIMONIAL</t>
  </si>
  <si>
    <t>FROTA</t>
  </si>
  <si>
    <t>GESTÃO DE OBZ</t>
  </si>
  <si>
    <t>PILAR COMERCIAL</t>
  </si>
  <si>
    <t>PROCESSOS BÁSICOS</t>
  </si>
  <si>
    <t>PREÇOS</t>
  </si>
  <si>
    <t>TRANSFORMAÇÃO DIGITAL</t>
  </si>
  <si>
    <t>ASR</t>
  </si>
  <si>
    <t>TRADE</t>
  </si>
  <si>
    <t>DISTRIBUIÇÃO</t>
  </si>
  <si>
    <t>Aplicabilidade</t>
  </si>
  <si>
    <t>Pesos</t>
  </si>
  <si>
    <t>Pontos</t>
  </si>
  <si>
    <t>SPO - Resultado Auditoria</t>
  </si>
  <si>
    <t>Auditoria</t>
  </si>
  <si>
    <t>Operação</t>
  </si>
  <si>
    <t>Pontos PEX</t>
  </si>
  <si>
    <t>N/A</t>
  </si>
  <si>
    <t xml:space="preserve"> </t>
  </si>
  <si>
    <t>In Loco</t>
  </si>
  <si>
    <t>Centralizado</t>
  </si>
  <si>
    <t>In loco</t>
  </si>
  <si>
    <t>In Loco
Centralizado</t>
  </si>
  <si>
    <t>Centralizado
In loco</t>
  </si>
  <si>
    <t>Power BI</t>
  </si>
  <si>
    <t>In loco / Centralizado</t>
  </si>
  <si>
    <t>In Loco / Centralizado</t>
  </si>
  <si>
    <t>Reuniões Semanais</t>
  </si>
  <si>
    <t>Agenda da Rotina de Nível de Serviço</t>
  </si>
  <si>
    <t>Base de Atendimento</t>
  </si>
  <si>
    <t>Saneamento da base</t>
  </si>
  <si>
    <t>% GPS Semanal</t>
  </si>
  <si>
    <t>% GPS 100</t>
  </si>
  <si>
    <t>Novos Cadastros - Visita</t>
  </si>
  <si>
    <t>Novos Cadastros - Compra</t>
  </si>
  <si>
    <t>Manutenção de Equipamento (Cooler + CH/PM) OK no Prazo</t>
  </si>
  <si>
    <t>Reincidências de Manutenção Menor que 30 Dias</t>
  </si>
  <si>
    <t>% Assepsia CH+PM OK no Prazo</t>
  </si>
  <si>
    <t>% Troca Técnica OK no Prazo (Com Laudo de Condenação Aprovado)</t>
  </si>
  <si>
    <t>% On Time</t>
  </si>
  <si>
    <t>% In Full</t>
  </si>
  <si>
    <t>% In Full Troca</t>
  </si>
  <si>
    <t>% Solicitações Digitais (Campo + Centralizado)</t>
  </si>
  <si>
    <t>Rating Logística</t>
  </si>
  <si>
    <t>Reuniões Diárias</t>
  </si>
  <si>
    <t>Reuniões Mensais</t>
  </si>
  <si>
    <t>Rotina Básica</t>
  </si>
  <si>
    <t>Alavancas de Sell Out</t>
  </si>
  <si>
    <t>Rotas Coaching</t>
  </si>
  <si>
    <t>Desdobramento de Objetivos de Volumes e IP's</t>
  </si>
  <si>
    <t>Academia Bees</t>
  </si>
  <si>
    <t>Painel Ancoragem</t>
  </si>
  <si>
    <t>PDV's Aderidos RGB</t>
  </si>
  <si>
    <t>% Compradores B2B</t>
  </si>
  <si>
    <t>% Peso B2B</t>
  </si>
  <si>
    <t>% Push Notification</t>
  </si>
  <si>
    <t>Engajamento ao Programa de Pontos</t>
  </si>
  <si>
    <t>Desafios do Programa de Pontos</t>
  </si>
  <si>
    <t>Painel ASR</t>
  </si>
  <si>
    <t>Gabarito de Execução</t>
  </si>
  <si>
    <t>Giro Tri SOPIV</t>
  </si>
  <si>
    <t>Painel Digital Trade</t>
  </si>
  <si>
    <t>Compradores de Cerveja</t>
  </si>
  <si>
    <t>Compradores de Cerveja RGB</t>
  </si>
  <si>
    <t>Compradores de NAB</t>
  </si>
  <si>
    <t>Painel NAB</t>
  </si>
  <si>
    <t>Documentação Básica</t>
  </si>
  <si>
    <t>1- Verificar a aderência da Unidade à MP de banco de Horas conforme Dashboard MPs.</t>
  </si>
  <si>
    <t>1- Verificar a aderência da Unidade à MP de Folgas e Férias conforme Dashboard MPs.</t>
  </si>
  <si>
    <t>Engagement</t>
  </si>
  <si>
    <t>Risco e Estrutura Patrimonial</t>
  </si>
  <si>
    <t>Controles Internos</t>
  </si>
  <si>
    <t>Inventário</t>
  </si>
  <si>
    <t>Política de Frota</t>
  </si>
  <si>
    <t>3.A Unidade possui 100% de aderência à gestão da frota.
0. A Unidade apresenta falha no processo.</t>
  </si>
  <si>
    <t>Multas e Avarias</t>
  </si>
  <si>
    <t>3. A Unidade possui aderência de 100% ao Dashboard de multas e avarias.
1. A Unidade NÃO está aderente ao Dashboard, mas houve tratamento de todas as ocorrências durante a reunião de segurança.
0. A Unidade NÃO está aderente ao Dashboard de multas e avarias e possui multas NIC sem justificativas.</t>
  </si>
  <si>
    <t>Fluxo Fiscal</t>
  </si>
  <si>
    <t>Contas a Receber Vencido</t>
  </si>
  <si>
    <t>PDD</t>
  </si>
  <si>
    <t>Giro Zero Vasilhame</t>
  </si>
  <si>
    <t>Recolha Automática de Vasilhames</t>
  </si>
  <si>
    <t>OBZ Resultado</t>
  </si>
  <si>
    <t>Tendência OBZ</t>
  </si>
  <si>
    <t xml:space="preserve">Pagamentos </t>
  </si>
  <si>
    <t>% PDVs Fully Digital
(PDVs &gt;80% peso B2B)</t>
  </si>
  <si>
    <t>Referência de Check - Padrão</t>
  </si>
  <si>
    <t>Balanceamento de Rotas e Estrutura SEAV dos Promotores de Vendas</t>
  </si>
  <si>
    <t>Painel Novos Cadastros;
Entrevista com Equipe de Vendas;
Acompanhamento da Unidade.</t>
  </si>
  <si>
    <t>Power BI;
Entrevista com Equipe de Vendas;
Acompanhamento da Unidade;
CIG.</t>
  </si>
  <si>
    <t>Power BI SEAV 2.0;
Acompanhamento da Unidade;
CIG.</t>
  </si>
  <si>
    <t>SEAV;
Acompanhamento da Unidade;
CIG.</t>
  </si>
  <si>
    <t>Painel de Falhas por PDV;
Entrevista com Equipe de Vendas;
Rota;
Acompanhamento da Unidade.</t>
  </si>
  <si>
    <t>Painel de Falhas por PDV;
Entrevista com Equipe de Vendas;
Acompanhamento da Unidade.</t>
  </si>
  <si>
    <t>Entrevista com os funcionários;
Materiais da Unidade.</t>
  </si>
  <si>
    <t>3. A Unidade possui &gt;=80,0% de aderência na média acumulada e cumpre com o item obrigatório da MP.
1. A Unidade possui &gt;=60,0% e &lt;80,0% de aderência na média acumulada ou NÃO cumpre com o item obrigatório da MP.
0. A Unidade possui &lt;60,0% de aderência na média acumulada.</t>
  </si>
  <si>
    <t>Power BI;
Materiais da Unidade.</t>
  </si>
  <si>
    <t>Power BI.</t>
  </si>
  <si>
    <t>Bate Papo;
Power BI;
Ambev On.</t>
  </si>
  <si>
    <t>Portal DSI;
Plano de Ação;
Entrevista com os funcionários;
Materiais da Unidade.</t>
  </si>
  <si>
    <t>Entrevistas com os funcionários;
Materiais da Unidade.</t>
  </si>
  <si>
    <t>Portal Skymark;
Reuniões locais;
Promax;
Entrevista com os funcionários.</t>
  </si>
  <si>
    <t>Portal SOX;
Plano de ação.</t>
  </si>
  <si>
    <t>Report CSC;
Power BI/IE;
Plano de ação.</t>
  </si>
  <si>
    <t>Sistema Frota.</t>
  </si>
  <si>
    <t>Portal DSI;
Plano de ação.</t>
  </si>
  <si>
    <t>BOOK OBZ.</t>
  </si>
  <si>
    <t>Power BI;
Acompanhamento regional.</t>
  </si>
  <si>
    <t>Farol DSI.</t>
  </si>
  <si>
    <t>Power BI CAT;
Acompanhamento da Unidade.</t>
  </si>
  <si>
    <t>Power BI Solicitações;
Check com PDV;
Acompanhamento da Unidade.</t>
  </si>
  <si>
    <t>Painel Troca Técnica;
Power BI CAT;
Acompanhamento da Unidade.</t>
  </si>
  <si>
    <t>Power BI Solicitações;
Entrevista com Equipe de Vendas;
Rota;
Check com PDV.</t>
  </si>
  <si>
    <t>Power BI Rating Log;
Acompanhamento da Unidade;
Check de Reuniões.</t>
  </si>
  <si>
    <t>GSUP.</t>
  </si>
  <si>
    <t>Checks presenciais na Unidade.</t>
  </si>
  <si>
    <t>Orus;
Pointer.</t>
  </si>
  <si>
    <t>Documentos da Unidade.</t>
  </si>
  <si>
    <t>Plano de Ação e Follows;
Documentos da Unidade.</t>
  </si>
  <si>
    <t>App Meu Cliente;
Power BI.</t>
  </si>
  <si>
    <t>Credit 360;
Plano de Ação e Follows;
Documentos da Unidade.</t>
  </si>
  <si>
    <t>Plano de Ação e Follows;
Credit 360.</t>
  </si>
  <si>
    <t>Plano de Ação e Follows;
App Meu Cliente;
G-seg.</t>
  </si>
  <si>
    <t>1- Verificar se a Unidade garante tratativa das notas sem pedido;
2- Verificar se a Unidade garante a carta de anuência (no mínimo semestral) de todos os fornecedores fixos, TOP 10 Spot, pacote de apoio e transportadora, garantindo que não existam passivos de pagamentos;
3- Verificar as notas simuladas e regularizadas.</t>
  </si>
  <si>
    <t>Treinamentos de Integração / Retorno a função para condutores</t>
  </si>
  <si>
    <t>Integração na CIA</t>
  </si>
  <si>
    <t>1- Verificar o atingimento do resultado da INAD e CR vencido;
2- Verificar se a Unidade trata semanalmente os vales da transportadora e não há nenhum maior de 30 dias.</t>
  </si>
  <si>
    <t>3. A Unidade atinge a meta de INAD no YTD.
1. A Unidade NÃO atinge a meta de INAD, mas atinge a meta de CR Vencido.
0. A Unidade NÃO atinge a meta de INAD e CR Vencido.</t>
  </si>
  <si>
    <t>1- Verificar as solicitações de recolha de vasilhame no painel solicitações no command center;
2- Verificar se a Unidade acompanha as recolhas automáticas e estratifica as anomalias realizadas no manual;
3- Verificar se as recolhas recorrentes e não efetuadas tem plano de ação junto ao time de nível de serviço.</t>
  </si>
  <si>
    <t xml:space="preserve">3. A Unidade atinge a meta de OBZ fixo total.
1. A Unidade NÃO atinge a meta de OBZ com estouro de até 1,0%.
0. A Unidade NÃO atinge a meta de OBZ com estouro maior que 1,0%. </t>
  </si>
  <si>
    <t>3. A Unidade atinge a meta de 3,5% mês e FE.
1. A Unidade atinge a meta mês nos últimos três meses.
0. A Unidade NÃO atinge a meta mês e FE.</t>
  </si>
  <si>
    <t>3. A Unidade atinge a meta de notas fora e cartas de anuência ok.
1. A Unidade atinge pelo menos 80,0% da meta de notas fora e tem cartas de anuência ok.
0. A Unidade atinge menos que 80,0% da meta de notas fora.</t>
  </si>
  <si>
    <t>3. A Unidade atinge a meta de Giro Zero Vasilhame.
1. A Unidade NÃO atinge a meta, mas evolui vs ano anterior.
0. A Unidade NÃO atinge a meta e NÃO possui evolução.</t>
  </si>
  <si>
    <t>3. A Unidade atinge a meta de PDD contábil.
1. A Unidade atinge 95% da meta.
0. A Unidade NÃO atinge 95% da meta.</t>
  </si>
  <si>
    <t>3. A Unidade atinge a meta de Recolha automática de vasilhames.
1. A Unidade NÃO atinge a meta, mas evolui vs último TRI.
0. A Unidade NÃO atinge a meta e NÃO possui evolução.</t>
  </si>
  <si>
    <t>Portal DSI;
Power BI.</t>
  </si>
  <si>
    <t>Audtool;
Materiais da Unidade.</t>
  </si>
  <si>
    <t>Power BI;
Acompanhamento local.</t>
  </si>
  <si>
    <t>Participação dos auditores nas reuniões;
Entrevista com os funcionários.</t>
  </si>
  <si>
    <t>3. O RN/VDE executa os passos da rotina corretamente.
1. O RN/VDE executa os passos da rotina, porém há falha na execução.
0. O RN/VDE NÃO executa os passos da rotina.</t>
  </si>
  <si>
    <t>Acompanhamento do RN/VDE durante visita ao mercado.</t>
  </si>
  <si>
    <t>3. O RN/VDE utiliza as Alavancas de Sell Out corretamente.
1. O RN/VDE utiliza as Alavancas de Sell Out, porém há falha na execução.
0. O RN/VDE NÃO utiliza as Alavancas de Sell Out.</t>
  </si>
  <si>
    <t>Acompanhamento dos IPs;
Entrevista com Promotor, VDE’s/RN's, VDI's e Supervisor de Vendas;
Planilha de Desdobramento de Objetivos/SIV;
Emails e planilhas com racionais de validação de IPs e OK formal do GC.</t>
  </si>
  <si>
    <t>1- Verificar se os funcionários da Unidade conhecem a plataforma de treinamento Ambev On;
2- Verificar se os funcionários da Unidade conhecem a mecânica de pontuação da Academia Bees.</t>
  </si>
  <si>
    <t>Mapeamento PDVs mais relevantes</t>
  </si>
  <si>
    <r>
      <t xml:space="preserve">1- Verificar o resultado do Indicador (Solicitações Campo + Centralizado);
</t>
    </r>
    <r>
      <rPr>
        <b/>
        <sz val="9"/>
        <rFont val="Calibri"/>
        <family val="2"/>
        <scheme val="minor"/>
      </rPr>
      <t>Obs.: 
Solicitações Digitais = Solicitações Abertas via BEES, Whatsapp ou App do time de Vendas.</t>
    </r>
  </si>
  <si>
    <t>Rating Solicitações</t>
  </si>
  <si>
    <t>Participação dos auditores nas reuniões;
Agenda do GNS e SNS;
Entrevista com os funcionários.</t>
  </si>
  <si>
    <t>1- Verificar se a Unidade atinge a Meta de % GPS Semanal.</t>
  </si>
  <si>
    <t>3. A Unidade está atingindo &gt;=70,0% dos novos cadastros com compra em até 15 dias.
1. A Unidade está atingindo &gt;=60,0% dos novos cadastros com compra em até 15 dias.
0. A Unidade NÃO garante 60,0% dos novos cadastros com compra em até 15 dias.</t>
  </si>
  <si>
    <t>Lista de PDVs conforme modelo padrão DVD.</t>
  </si>
  <si>
    <t>3. A Unidade está atingindo resultado &gt;=80 pts no Painel Ancoragem.
1. A Unidade está atingindo resultado &gt;=60 pts no Painel Ancoragem.
0. A Unidade está com resultado &lt;60 pts no Painel Ancoragem.</t>
  </si>
  <si>
    <t>Power BI / CIG;
Visita ao mercado.</t>
  </si>
  <si>
    <t>3. A Unidade está atingindo a meta do KPI.
1. A Unidade está com o atingimento &gt;=90,0% da meta.
0. A Unidade NÃO atinge o mínimo de 90% da meta.</t>
  </si>
  <si>
    <t>1- Verificar se a Unidade atinge a meta do Indicador.</t>
  </si>
  <si>
    <t>Power BI;
Visita ao mercado.</t>
  </si>
  <si>
    <t>Power BI;
Entrevista com Gerente de Vendas;
Gestão Sell Out.</t>
  </si>
  <si>
    <t>3. A Unidade está atingindo resultado &gt;=80 pts.
1. A Unidade está atingindo resultado &gt;=60 pts.
0. A Unidade NÃO atinge o mínimo de 60 pts.</t>
  </si>
  <si>
    <t>1- Verificar o conhecimento e aplicabilidade dos RNs/VDEs do modelo correto de execução para cada segmento de cliente.</t>
  </si>
  <si>
    <t>3. A Unidade possui 100% dos PDVs visitados na auditoria seguindo o Gabarito de Execução por segmento.
1. A Unidade possui &gt;=75% dos PDVs visitados na auditoria seguindo o Gabarito de Execução por segmento.
0. A Unidade possui &lt;75% dos PDVs visitados na auditoria seguindo o Gabarito de Execução por segmento.</t>
  </si>
  <si>
    <t>Visita ao mercado</t>
  </si>
  <si>
    <t>3. A Unidade está atingindo a meta do KPI.
1. A Unidade apresenta evolução vs mesmo período do ano anterior.
0. A Unidade NÃO apresenta evolução.</t>
  </si>
  <si>
    <t>1- Verificar se a unidade atinge a meta do Indicador.</t>
  </si>
  <si>
    <t>3. A Unidade está atingindo resultado &gt;=80 pts no Painel.
1. A Unidade está atingindo resultado &gt;=70 pts no Painel.
0. A Unidade está com resultado &lt;70 pts no Painel.</t>
  </si>
  <si>
    <t>3. A Unidade está atingindo a meta do KPI.
1. A Unidade está com o atingimento &gt;=95,0% da meta.
0. A Unidade NÃO apresenta evolução.</t>
  </si>
  <si>
    <t>% Tratativa Rating</t>
  </si>
  <si>
    <t>Orus;
Pointer;
Power BI;
Auditoria in loco.</t>
  </si>
  <si>
    <t>3. A Unidade tem 100% de aderência do GSR/GSL em até 60 dias e garante 100% dos novatos em até 07 dias após liberação para a rota.
1. A Unidade tem 100% de aderência do GSR/GSL em até 90 dias e garante 100% dos novatos em até 07 dias após liberação para a rota.
0. A Unidade NÃO atinge 100% de aderência de GSR/GSL em até 90 dias ou NÃO garante 100% dos novatos em até 07 dias após liberação para a rota.</t>
  </si>
  <si>
    <t>% Solicitações Ok no Prazo (sem investimento)</t>
  </si>
  <si>
    <t>% Solicitações Fechadas no Prazo (com investimento)</t>
  </si>
  <si>
    <t>3. A Liderança realiza as Rotas Coaching em 100% dos RNs em até 60 dias ou em 100% dos VDEs em até 30 dias.
1. A Liderança realiza as Rotas Coaching em 100% dos RNs em até 90 dias ou em 100% dos VDEs em até 45 dias.
0. A Liderança NÃO realiza as Rotas Coaching em 100% dos RNs em até 90 dias ou em 100% dos VDEs em até 45 dias.</t>
  </si>
  <si>
    <t>Exportação do Meu Cliente/Minha Rota;
Power BI;
Acompanhamento local.</t>
  </si>
  <si>
    <t>Promotores de Vendas / Alavancas de Sell Out AS Rota</t>
  </si>
  <si>
    <t>Scanntech</t>
  </si>
  <si>
    <t>3. A Unidade atinge a meta de lojas com a ferramenta instalada e o GV tem gestão sobre as maiores quedas de Share (Redes/Lojas).
1. A Unidade evolui o número de lojas com a ferramenta instalada vs último trimestre e o GV tem gestão sobre as maiores quedas de Share (Redes/Lojas).
0. A Unidade NÃO atinge a meta, NÃO evolui ou o GV NÃO tem gestão sobre as maiores quedas de Share (Redes/Lojas).</t>
  </si>
  <si>
    <t>3. A Unidade está atingindo &gt;=70,0% dos Novos Cadastros visitados em até 15 dias.
1. A Unidade está atingindo &gt;=60,0% dos Novos Cadastros visitados em até 15 dias.
0. A Unidade NÃO garante 60,0% dos novos cadastros visitados em até 15 dias.</t>
  </si>
  <si>
    <t>1- Verificar se a Unidade atinge a Meta de % GPS 100.</t>
  </si>
  <si>
    <t>3. A Unidade está atingindo a meta de Manutenção de Equip. OK no Prazo.
1. A Unidade está com o atingimento &gt;=90,0% da meta.
0. A Unidade NÃO atinge 90,0% da meta.</t>
  </si>
  <si>
    <t>3. A Unidade está atingindo a meta de Reincidência de Manutenção em 30 dias.
1. A Unidade está com o atingimento &gt;=90,0% da meta.
0. A Unidade NÃO atinge 90,0% da meta.</t>
  </si>
  <si>
    <t>1- Verificar se a Unidade atinge a meta de Manutenção de Equipamento OK no Prazo.</t>
  </si>
  <si>
    <t>1- Verificar se a Unidade atinge a meta de Reincidência de Manutenção em 30 Dias.</t>
  </si>
  <si>
    <t>3. A Unidade está atingindo a meta de Troca Técnica OK no Prazo.
1. A Unidade está atingindo &gt;=90,0% da meta.
0. A Unidade NÃO atinge 90,0% da meta.</t>
  </si>
  <si>
    <t>3. A Unidade está atingindo a meta de Assepsia de CH+PM OK no Prazo.
1. A Unidade está atingindo &gt;=90,0% da meta.
0. A Unidade NÃO atinge 90,0% da meta.</t>
  </si>
  <si>
    <t>1- Verificar se a Unidade está atingindo a meta de Solicitações Ok no Prazo - Ofertas sem investimento.</t>
  </si>
  <si>
    <t>1- Verificar se a Unidade está atingindo a meta de Solicitações Fechadas no Prazo - Ofertas com investimento.</t>
  </si>
  <si>
    <t>3. A Unidade está atingindo a meta de On Time.
1. A Unidade está atingindo &gt;=90,0% da meta.
0. A Unidade NÃO atinge 90,0% da meta.</t>
  </si>
  <si>
    <t>3. A Unidade está atingindo a meta de In Full.
1. A Unidade está atingindo &gt;=90,0% da meta.
0. A Unidade NÃO atinge 90,0% da meta.</t>
  </si>
  <si>
    <t>3. A Unidade está atingindo a meta de In Full Troca.
1. A Unidade está atingindo &gt;=90,0% da meta.
0. A Unidade NÃO atinge 90,0% da meta.</t>
  </si>
  <si>
    <t>3. A Unidade está atingindo a meta de Solicitações OK no Prazo - sem investimento.
1. A Unidade está atingindo &gt;=90,0% da meta.
0. A Unidade NÃO atinge 90,0% da meta.</t>
  </si>
  <si>
    <t>3. A Unidade está atingindo a meta de Solicitações Fechadas no Prazo - com investimento.
1. A Unidade está atingindo &gt;=90,0% da meta.
0. A Unidade NÃO atinge 90,0% da meta.</t>
  </si>
  <si>
    <t>3. A Unidade está atingindo a meta de Solicitações Digitais.
1. A Unidade está atingindo &gt;=90,0% da meta.
0. A Unidade NÃO atinge 90,0% da meta.</t>
  </si>
  <si>
    <t>3. A Unidade está atingindo a meta de Tratativas de Rating.
1. A Unidade está atingindo &gt;=90,0% da meta.
0. A Unidade NÃO atinge 90,0% da meta.</t>
  </si>
  <si>
    <t>1- Verificar se a Unidade está atingindo a meta de Assepsia CH+PM OK no Prazo.</t>
  </si>
  <si>
    <t>1- Verificar se a Unidade está atingindo a meta de Troca Técnica OK no Prazo.</t>
  </si>
  <si>
    <t>1- Verificar se a Unidade está batendo o indicador de On Time.</t>
  </si>
  <si>
    <t>1- Verificar se a Unidade está atingindo a meta de In Full.</t>
  </si>
  <si>
    <t>1- Verificar se a Unidade está atingindo a meta de In Full Troca.</t>
  </si>
  <si>
    <t>1- Verificar se a Unidade está atingindo a meta de Rating Logística.</t>
  </si>
  <si>
    <t>3. A Unidade está atingindo a meta do indicador.
1. A Unidade está atingindo 90,0% da meta.
0. A Unidade NÃO atinge 90,0% da meta.</t>
  </si>
  <si>
    <t>1- Verificar se os registros de incidentes estão no Credit 360 e possuem ações para evitar a reincidência;
2- Verificar se a Unidade garante o registro dos relatos de atos e condições inseguras.</t>
  </si>
  <si>
    <t>1 - Verificar se critérios de rotas criticas estão devidamente implantados na unidade:
- Rotas com mais de 100 km com uso de carro;
- Viagens &gt;=300 km até 400 km de carro com plano de viagem;
- Rotas realizadas em estradas de terra com Moto Off-road (critérios conforme regulamento);
2- Verificar se os condutores são devidamente orientados antes de assumir suas rotas.</t>
  </si>
  <si>
    <r>
      <t xml:space="preserve">1- Verificar se a telemetria está em funcionamento e há tratamento das violações, incluindo o Tech Safety 3.0;
2- Verificar o vínculo de condutores aos veículos cadastrados no sistema de telemetria.
</t>
    </r>
    <r>
      <rPr>
        <b/>
        <sz val="9"/>
        <rFont val="Calibri"/>
        <family val="2"/>
        <scheme val="minor"/>
      </rPr>
      <t>Obs.:
Caso seja constatado na auditoria algum veículo sem sinal de telemetria, o item será zerado.</t>
    </r>
  </si>
  <si>
    <r>
      <t xml:space="preserve">1- Verificar o inventário de meio de locomoção dentro do G-Seg para funcionários próprios e terceiros com verificação das condições dos veículos e uso de EPIs;
2- Verificar se há MDT de trajeto e se foi corretamente aplicada para os casos de desvios no comportamento durante o trajeto.
</t>
    </r>
    <r>
      <rPr>
        <b/>
        <sz val="9"/>
        <rFont val="Calibri"/>
        <family val="2"/>
        <scheme val="minor"/>
      </rPr>
      <t>Obs.:
Condutores verificados sem capacete ou sem jaqueta o item será zerado.</t>
    </r>
  </si>
  <si>
    <t>1- Verificar os registros das documentações existentes no GED e renovação de permissões, licenças e certificações da Unidade.
2- Verificar o percentual de atingimento no BI do GED.</t>
  </si>
  <si>
    <r>
      <t xml:space="preserve">1- Verificar a gestão da aderência do monitoramento de segurança dentro do prazo regulamentar (60 dias para funcionários antigos e 30 dias até o 3º mês para os novos contratados);
2- Verificar se a Unidade garante o GSR/GSL dos novatos em até 07 dias após a liberação da equipe para a rota;
</t>
    </r>
    <r>
      <rPr>
        <b/>
        <sz val="9"/>
        <rFont val="Calibri"/>
        <family val="2"/>
        <scheme val="minor"/>
      </rPr>
      <t>Obs.:
A unidade deve garantir que 100% das motos se encontrem em condições seguras para tráfego através das blitz.</t>
    </r>
  </si>
  <si>
    <t>1- Verificar se a Unidade possui a gestão da documentação básica e do e-social;
2- Verificar se a Unidade possui a documentação exigida pela legislação conforme orientação do GED e cumpre os requisitos do e-social.</t>
  </si>
  <si>
    <t>1- Avaliar apenas as vagas de frontline.
(VDE, RN, SV, SC, LE, Promotor ASR, GV e SNS).</t>
  </si>
  <si>
    <t>1- Verificar a aderência da Unidade à MP de Comunicação conforme Dashboard MPs.</t>
  </si>
  <si>
    <t>1- Verificar o preenchimento no prazo e resultado da SOX;
2- Verificar desdobramento com os donos internos;
3- Verificar se a Unidade possui plano de ação para fechamento das lacunas dos itens não conformes.</t>
  </si>
  <si>
    <t>3. A Unidade garante o envio da SOX no prazo com plano para itens não conformes.
1. A Unidade garante o envio da SOX, mas NÃO tem plano para itens não conformes.
0. A Unidade NÃO garante o envio da SOX.</t>
  </si>
  <si>
    <r>
      <t xml:space="preserve">1- Verificar se a Unidade garante a TOR da reunião de Pré e Pós inventário;
2- Verificar a aderência do book do inventário antes e depois do pleito, disponibilizado pelo CSC;
3- Verificar se a Unidade seguiu o cronograma de inventário conforme calendário oficial corporativo.
</t>
    </r>
    <r>
      <rPr>
        <b/>
        <sz val="9"/>
        <rFont val="Calibri"/>
        <family val="2"/>
        <scheme val="minor"/>
      </rPr>
      <t>Obs.: 
Será considerado o processo do último inventário validado pelo CSC.
Será considerado para resultado a média aritmética dos inventários validados YTD.</t>
    </r>
  </si>
  <si>
    <t>Power BI;
Promax;
Acompanhamento local;
Livro Fiscal.</t>
  </si>
  <si>
    <t>1- Verificar se a Unidade utiliza as ferramentas indicadas pela célula de comodato;
2- Verificar se existe visibilidade para o time de vendas dos PDVs com giro zero e se as anomalias são tratadas.</t>
  </si>
  <si>
    <t>1- Verificar se a Unidade tem acompanhamento do OBZ e o mesmo é desdobrado e discutido nas reuniões RPS Gestão e MPR Coletivo;
2- Verificar se a Unidade possui calendarização das iniciativas de OBZ regionais com todos os impactos previstos no LE.</t>
  </si>
  <si>
    <t>1- Verificar se as despesas estão conciliadas e alocadas nas contas corretas; 
2- Verificar se a Unidade garante que todas as despesas estão conforme premissa;
3- Verificar se a Unidade valida os lançamentos e faz gestão da tendência do fixo TT (c/gente e indiretos).</t>
  </si>
  <si>
    <r>
      <t xml:space="preserve">1- Verificar se as notificações e alertas de acidentes foram enviados dentro do prazo com a classificação e investigação conforme regulamento;
2- Verificar se as ações estão cadastradas no credit 360 e com visibilidade da Operação.
</t>
    </r>
    <r>
      <rPr>
        <b/>
        <sz val="9"/>
        <rFont val="Calibri"/>
        <family val="2"/>
        <scheme val="minor"/>
      </rPr>
      <t>Obs.:
Caso seja encontrada qualquer ocorrência sem emissão de CAT em 24h ou não registrada no SOC, o item será zerado.</t>
    </r>
  </si>
  <si>
    <t>3. A Unidade possui vagas de VDE, RN, SV, SC, LE, Promotor ASR, GV e SNS em aberto &lt;=3,0% na soma desses cargos.
1. A Unidade possui vagas em aberto &gt;3,0% e &lt;=5,0% dos cargos em questão.
0. A Unidade possui vagas em aberto &gt;5,0% nos cargos em questão.</t>
  </si>
  <si>
    <r>
      <t xml:space="preserve">1- Verificar se todos os passos do RN/VDE estão sendo executados durante a visita aos PDVs.
</t>
    </r>
    <r>
      <rPr>
        <b/>
        <sz val="9"/>
        <rFont val="Calibri"/>
        <family val="2"/>
        <scheme val="minor"/>
      </rPr>
      <t>Obs.: 
Rota de auditoria será realizada apenas com RN/VDE com no mínimo 6 meses de função.</t>
    </r>
  </si>
  <si>
    <r>
      <t xml:space="preserve">1- Verificar se a Unidade atinge a meta do Indicador.
</t>
    </r>
    <r>
      <rPr>
        <b/>
        <sz val="9"/>
        <rFont val="Calibri"/>
        <family val="2"/>
        <scheme val="minor"/>
      </rPr>
      <t>Obs.: 
Na visita ao mercado, caso seja constatado que o PDV NÃO tem ciência de um resgate efetuado, esse item será ZERADO.</t>
    </r>
  </si>
  <si>
    <r>
      <t xml:space="preserve">1- Verificar se a Unidade atinge a meta do Indicador.
</t>
    </r>
    <r>
      <rPr>
        <b/>
        <sz val="9"/>
        <rFont val="Calibri"/>
        <family val="2"/>
        <scheme val="minor"/>
      </rPr>
      <t>Obs.: 
Na visita ao mercado, caso seja constatado que o PDV NÃO tem ciência de um desafio efetuado, esse item será ZERADO.</t>
    </r>
  </si>
  <si>
    <t>Qlikview;
Acompanhamento da Unidade;
Check de Reuniões.</t>
  </si>
  <si>
    <t>Qlikview;
Entrevista com Equipe de Vendas;
Acompanhamento da Unidade;
Check de Reuniões.</t>
  </si>
  <si>
    <t>3. A Unidade está atingindo a meta de % GPS Semanal.
1. A Unidade está atingindo 90,0% da meta de % GPS Semanal.
0. A Unidade NÃO atinge 90,0% da Meta de % GPS Semanal.</t>
  </si>
  <si>
    <t>3. A Unidade está atingindo a meta de % GPS 100.
1. A Unidade está atingindo 90,0% da meta de % GPS 100.
0. A Unidade NÃO atinge 90,0% da Meta de % GPS 100.</t>
  </si>
  <si>
    <t>3. A Unidade está atingindo &gt;=4,80 de Rating Solicitações.
1. A Unidade está atingindo &gt;=4,30 de Rating Solicitações.
0. A Unidade NÃO atinge 4,30 de Rating Solicitações.</t>
  </si>
  <si>
    <t>3. O Promotores executam a rotina básica garantindo as alavancas de Sell Out, a Unidade está atingindo o resultado de 90,0% de GPS dos Promotores e a Liderança realiza 100% das Rotas Coaching dos Promotores em até 30 dias.
1. Existem falhas na execução da rotina básica ou alavancas de Sell Out OU a Unidade está atingindo o resultado de 80,0% de GPS dos Promotores OU a Liderança realiza 100% das Rotas Coaching dos Promotores em até 45 dias.
0. Os Promotores não realizam a rotina básica ou alavancas de Sell Out OU a Unidade está atingindo resultado de GPS &lt; 80,0% OU a Liderança NÃO realiza 100% das Rotas Coaching dos Promotores em até 45 dias.</t>
  </si>
  <si>
    <t>1- Verificar se a Unidade promove iniciativas que estimulem a diversidade buscando equidade de gênero, raça, orientação sexual e deficiência na unidade.</t>
  </si>
  <si>
    <t>1- Verificar se a Unidade promove iniciativas e estimula um ambiente de acolhimento e inclusão;
2- Verificar se a Política do Respeito foi desdobrada para 100% da operação conforme padrão;
3- Verificar se o Treinamento de Viés inconsciente é desdobrado antes de momentos-chave do ano e do ciclo de gente, conforme diretrizes corporativas;
4- Verificar se a liderança da Unidade tem compromissos formais de diversidade e inclusão com seu time.</t>
  </si>
  <si>
    <t>Inclusão</t>
  </si>
  <si>
    <t>Diversidade</t>
  </si>
  <si>
    <t>3. A Unidade cumpre todos os itens de verificação.
1. A Unidade cumpre 03 (três) itens de verificação.
0. A Unidade cumpre menos de 03 (três) itens de verificação.</t>
  </si>
  <si>
    <t>3. As Reuniões Diárias de Vendas são executadas na frequência correta e conforme a TOR.
0. As Reuniões Diárias de Vendas NÃO são executadas na frequência correta ou há falhas em mais de 02 (dois) itens da TOR.</t>
  </si>
  <si>
    <t>1- Verificar se as Reuniões Diárias acontecem e se a Unidade cumpre os padrões (TOR) das reuniões.</t>
  </si>
  <si>
    <r>
      <t xml:space="preserve">1- Verificar em rota se o RN/VDE utiliza as Alavancas de Sell Out que se apliquem de acordo com o PDV/segmento.
 </t>
    </r>
    <r>
      <rPr>
        <b/>
        <sz val="9"/>
        <rFont val="Calibri"/>
        <family val="2"/>
        <scheme val="minor"/>
      </rPr>
      <t xml:space="preserve">
Obs.: 
A Unidade será avaliada nos segmentos Rota/TRAD e VIP/Hiperseg conforme o padrão de cada segmento.</t>
    </r>
  </si>
  <si>
    <t>1- Verificar a realização das Rotas Coaching via App Meu Cliente, respeitando no mínimo 04 PDVs/dia para todos os segmentos, inclusive em período de mobilização;
2- Verificar se nenhum RN está sem Rota Coaching há mais de 60 dias, inclusive RN feristas/reservas;
3- Verificar se nenhum VDE está sem Rota Coaching há mais de 30 dias, inclusive VDE feristas/reservas.</t>
  </si>
  <si>
    <t>1- Verificar se o time de Promotores de Vendas, RNs/VDEs, SVs e Gerentes de Vendas tem conhecimento das regras e critérios utilizados no Desdobramento de Objetivos;
2- Verificar se o time recebe um acompanhamento semanal de remuneração (Faixas de Volumes e IPs).</t>
  </si>
  <si>
    <t>3. O processo é completamente executado até o 3º dia útil e o time de vendas compreende o processo e as metas.
1. O processo é executado até o 3º dia útil, porém há falhas de processo ou falhas de conhecimento do time.
0. O processo NÃO é completamente executado até o 3º dia útil.</t>
  </si>
  <si>
    <t>1- O GC e GV tem conhecimento e acompanhamento dos principais PDVs influenciadores (mapeados localmente ou através de plataformas corporativas) da sua Unidade;
2- O GC e GV tem conhecimento e acompanhamento dos PDVs de maior volume total de cerveja em sua área, por segmento e hipersegmento.</t>
  </si>
  <si>
    <t>3. O GC e os GVs mapeiam, gerenciam e atuam junto aos PDVs mais relevantes.
0. Há falha no mapeamento, no gerenciamento ou não há ação junto aos PDVs mais relevantes.</t>
  </si>
  <si>
    <r>
      <t xml:space="preserve">1- Verificar a pontuação do Painel Ancoragem.
</t>
    </r>
    <r>
      <rPr>
        <b/>
        <sz val="9"/>
        <rFont val="Calibri"/>
        <family val="2"/>
        <scheme val="minor"/>
      </rPr>
      <t xml:space="preserve">Obs.: </t>
    </r>
    <r>
      <rPr>
        <sz val="9"/>
        <rFont val="Calibri"/>
        <family val="2"/>
        <scheme val="minor"/>
      </rPr>
      <t xml:space="preserve">
</t>
    </r>
    <r>
      <rPr>
        <b/>
        <sz val="9"/>
        <rFont val="Calibri"/>
        <family val="2"/>
        <scheme val="minor"/>
      </rPr>
      <t>Caso seja encontrado na rota de auditoria PDV Âncora com prática incorreta de preço, sem Execução ou Sinalização de Preço (Menu, cardápio, Painel), o PDV será considerado como Falso Foco e o item será ZERADO.</t>
    </r>
  </si>
  <si>
    <r>
      <t xml:space="preserve">1- Verificar se a Unidade atinge a meta de % Aderidos RGB;
2- Verificar se a Unidade atinge o % mínimo de coletas de TTC.
</t>
    </r>
    <r>
      <rPr>
        <b/>
        <sz val="9"/>
        <rFont val="Calibri"/>
        <family val="2"/>
        <scheme val="minor"/>
      </rPr>
      <t>Obs.: 
Caso seja encontrado em rota PDV na Tabela de Aderido com prática incorreta de preço, sem Execução ou Sinalização de Preço (Menu, cardápio, Painel), o PDV será considerado como Falso Foco e o item será ZERADO.</t>
    </r>
  </si>
  <si>
    <r>
      <t xml:space="preserve">1- Verificar se a Unidade atinge o resultado de GPS dos Promotores;
2- Verificar se os Promotores executam a rotina básica e garantem as alavancas de Sell Out conforme o padrão;
3- Verificar se nenhum Promotor está sem Rota Coaching há mais de 30 dias.
</t>
    </r>
    <r>
      <rPr>
        <b/>
        <sz val="9"/>
        <rFont val="Calibri"/>
        <family val="2"/>
        <scheme val="minor"/>
      </rPr>
      <t xml:space="preserve">
Obs.: 
As Unidades sem Promotores de Vendas próprios serão avaliadas somente pela execução da rotina básica e alavancas de Sell Out.</t>
    </r>
  </si>
  <si>
    <r>
      <t xml:space="preserve">1- Verificar se a unidade atinge a meta do Indicador.
</t>
    </r>
    <r>
      <rPr>
        <b/>
        <sz val="9"/>
        <rFont val="Calibri"/>
        <family val="2"/>
        <scheme val="minor"/>
      </rPr>
      <t xml:space="preserve">
Obs.: 
Caso seja encontrado na rota de auditoria 02 (dois) ou mais PDVs com invasão, o item será ZERADO.</t>
    </r>
  </si>
  <si>
    <r>
      <t>1- Verificar se o % de Frequência de Visita Semanal da Unidade está &gt;=85,0%;
2- Verificar se a Rota de Sábado respeita, no mínimo, 60,0% da quantidade média de visitas da semana;</t>
    </r>
    <r>
      <rPr>
        <b/>
        <sz val="9"/>
        <rFont val="Calibri"/>
        <family val="2"/>
        <scheme val="minor"/>
      </rPr>
      <t xml:space="preserve">
</t>
    </r>
    <r>
      <rPr>
        <sz val="9"/>
        <rFont val="Calibri"/>
        <family val="2"/>
        <scheme val="minor"/>
      </rPr>
      <t>3- Verificar se a Operação possui algum PDV com compra nos últimos 3 meses sem setor ou dia de visita alocado.</t>
    </r>
    <r>
      <rPr>
        <b/>
        <sz val="9"/>
        <rFont val="Calibri"/>
        <family val="2"/>
        <scheme val="minor"/>
      </rPr>
      <t xml:space="preserve">
</t>
    </r>
    <r>
      <rPr>
        <sz val="9"/>
        <rFont val="Calibri"/>
        <family val="2"/>
        <scheme val="minor"/>
      </rPr>
      <t xml:space="preserve">
</t>
    </r>
    <r>
      <rPr>
        <b/>
        <sz val="9"/>
        <rFont val="Calibri"/>
        <family val="2"/>
        <scheme val="minor"/>
      </rPr>
      <t>Obs.:
Base Ativa Qualificada =</t>
    </r>
    <r>
      <rPr>
        <sz val="9"/>
        <rFont val="Calibri"/>
        <family val="2"/>
        <scheme val="minor"/>
      </rPr>
      <t xml:space="preserve"> (PDVs Compradores + Novos Cadastros + PDVs Não Compradores com Solicitação Aberta) nos últimos 3 meses.
</t>
    </r>
    <r>
      <rPr>
        <b/>
        <sz val="9"/>
        <rFont val="Calibri"/>
        <family val="2"/>
        <scheme val="minor"/>
      </rPr>
      <t>Para Revendas que não fizerem rota aos sábados, o item será ZERADO.</t>
    </r>
  </si>
  <si>
    <t>3. A Unidade possui Base Ativa Qualificada &gt;=95,0% da Base SEAV e cumpre todos os itens de verificação.
1. A Unidade possui Base Ativa Qualificada &gt;=90,0% da Base SEAV ou possui falha em 01 (um) item de verificação.
0. A Unidade possui Base Ativa Qualificada &lt;90,0% da Base SEAV ou possui falha em mais de 01 (um) item de verificação.</t>
  </si>
  <si>
    <t>3. A Unidade garante que pelo menos 95,0% dos PDVs passíveis de inativação foram tratados e cumpre com todos os itens de verificação.
1. A Unidade garante que pelo menos 90,0% dos PDVs passíveis de inativação foram tratados ou existem falhas em até 01 (um) item de verificação.
0. A Unidade possui menos de 90,0% dos PDVs passíveis de inativação tratados ou existem falhas em mais de 01 (um) item de verificação.</t>
  </si>
  <si>
    <t>1- Verificar se a Unidade atinge a meta de Novos Cadastros visitados em até 15 dias.</t>
  </si>
  <si>
    <t>1- Verificar se a Unidade atinge a meta de Novos Cadastros com compra em até 15 dias.</t>
  </si>
  <si>
    <t>% Instalação e Recolha de Cooler Aprovados Fechados como OK no Prazo</t>
  </si>
  <si>
    <t>1- Verificar se a Unidade está atingindo a meta de Instalação e Recolha de Cooler Aprovados fechados como OK no Prazo;
2- Verificar se todas as instalações e recolhas realizadas pela Operação possuem uma solicitação aberta.</t>
  </si>
  <si>
    <t>3. A Unidade tem &gt;=5,0% do QLP PCD e apresenta evolução no % de diversidade racial e de gênero na liderança vs AA
1. A Unidade tem &lt;5,0% do QLP PCD, mas evolui vs ano anterior, tem iniciativas de diversidade racial e de gênero na liderança
0. A Unidade tem &lt;5,0% do QLP PCD e NÃO evolui vs ano anterior, NÃO tem iniciativas de diversidade racial e de gênero na liderança.</t>
  </si>
  <si>
    <t>3. As Reuniões Semanais de Segurança são executadas conforme a TOR.
0. As Reuniões Semanais de Segurança NÃO são executadas conforme a TOR.</t>
  </si>
  <si>
    <t>3. As Reuniões Semanais de Vendas são executadas conforme a TOR.
0. As Reuniões Semanais de Vendas NÃO são executadas conforme a TOR.</t>
  </si>
  <si>
    <r>
      <t xml:space="preserve">1- Verificar se as Reuniões Semanais acontecem e se a Unidade cumpre os padrões (TOR) das reuniões.
</t>
    </r>
    <r>
      <rPr>
        <b/>
        <sz val="9"/>
        <rFont val="Calibri"/>
        <family val="2"/>
        <scheme val="minor"/>
      </rPr>
      <t>Obs.: 
O GC tem autonomia para remanejar o dia da reunião conforme necessidade, garantindo sua realização dentro da semana.
Na semana da auditoria, as reuniões deverão ser realizadas na presença do auditor.
A Unidade pode ter até 02 (duas) falhas de frequência por semestre conforme o calendário corporativo. Caso &gt; 02 (duas) falhas o item será zerado.</t>
    </r>
  </si>
  <si>
    <r>
      <t xml:space="preserve">1- Verificar se as Reuniões Mensais acontecem e cumprem os padrões (TOR) da Supermatinal, Kickoff, MPR Coletivo;
2- Verificar se a Unidade acompanha os compromissos e resultados de KPIs críticos.
</t>
    </r>
    <r>
      <rPr>
        <b/>
        <sz val="9"/>
        <rFont val="Calibri"/>
        <family val="2"/>
        <scheme val="minor"/>
      </rPr>
      <t>Obs.:
A Unidade pode ter até 01 (uma) falha de frequência por semestre. Caso &gt; 01 (uma) falha o item será zerado.</t>
    </r>
  </si>
  <si>
    <t>3. As Reuniões Mensais de Gestão são executadas conforme a TOR.
0. As Reuniões Mensais de Gestão NÃO são executadas conforme a TOR.</t>
  </si>
  <si>
    <r>
      <t xml:space="preserve">1- Verificar se as Reuniões Mensais acontecem e se a Unidade cumpre os padrões (TOR) das reuniões;
2- Verificar se a Unidade acompanha os compromissos e resultados de KPIs críticos;
3- Verificar se a Unidade possui farol e calendarização das metas individuais até 2ª linha.
</t>
    </r>
    <r>
      <rPr>
        <b/>
        <sz val="9"/>
        <rFont val="Calibri"/>
        <family val="2"/>
        <scheme val="minor"/>
      </rPr>
      <t>Obs.:
A Unidade pode ter até 01 (uma) falha de frequência por semestre. Caso &gt; 01 (uma) falha o item será zerado.</t>
    </r>
  </si>
  <si>
    <t>3. As Reuniões Mensais de Vendas são executadas conforme a TOR.
0. As Reuniões Mensais de Vendas NÃO são executadas conforme a TOR.</t>
  </si>
  <si>
    <r>
      <t xml:space="preserve">1- Verificar se a realização da Agenda da Rotina acontece de acordo com as orientações;
2- Verificar se as Reuniões de Rotina acontecem e se a Unidade cumpre os padrões (TOR) da RCOG, RPS GNS x SNS e RPS GC x GNS, Kickoff e MPR Coletivo.
</t>
    </r>
    <r>
      <rPr>
        <b/>
        <sz val="9"/>
        <rFont val="Calibri"/>
        <family val="2"/>
        <scheme val="minor"/>
      </rPr>
      <t>Obs.: 
O GC tem autonomia para remanejar o dia da reunião conforme necessidade, garantindo sua realização dentro da semana.
Na semana da auditoria, as reuniões deverão ser realizadas na presença do auditor.
A Unidade pode ter até 02 (duas) falhas de frequência por semestre conforme o calendário corporativo. Caso &gt; 02 (duas) falhas o item será zerado.</t>
    </r>
  </si>
  <si>
    <t>3. A Unidade segue a Agenda da Rotina, as Reuniões obrigatórias de Nível de Serviço são executadas conforme a TOR.
0. A Unidade NÃO segue a Agenda da Rotina ou as Reuniões obrigatórias de Nível de Serviço NÃO são executadas conforme a TOR.</t>
  </si>
  <si>
    <t>1- Verificar se a Unidade acompanha através do farol fiscal do CSC as NFs emitidas em contingência pela SEFAZ e se há registro correto no livro fiscal
2- Verificar se a Unidade tem o controle para garantir o estoque mínimo de 15 dias de formulário de contingência em papel moeda;
3- Verificar se a Unidade cumpre o padrão de envio ao GD, conforme cluster estabelecido pelo time do CSC. Sendo que para Unidades com apenas um envio o mesmo deve ocorrer no 1° semestre;
4- Verificar se o time de gestão e portaria da Unidade tem conhecimento do fluxo de como agir em caso de auditoria fiscal e recepção de documentos oficiais.</t>
  </si>
  <si>
    <t>1- Verificar a Aderência à Integração da Cia e Função no prazo conforme regulamento.</t>
  </si>
  <si>
    <t>3. A Unidade está atingindo a meta de Rating Logística.
1. A Unidade está atingindo &gt;= 90% da meta.
0. A Unidade NÃO atinge 90% da meta.</t>
  </si>
  <si>
    <t>% Pedidos Influenciados</t>
  </si>
  <si>
    <r>
      <t xml:space="preserve">1- Verificar se a Unidade apresenta mensalmente durante a reunião de segurança as multas e avarias, com material de análise, condutores identificados e descontos aplicados ou abonados com justificativa.
</t>
    </r>
    <r>
      <rPr>
        <b/>
        <sz val="9"/>
        <rFont val="Calibri"/>
        <family val="2"/>
        <scheme val="minor"/>
      </rPr>
      <t xml:space="preserve">
Obs.:
Se a Unidade possuir multa NIC por não identificação de condutor sem justificativa o item deve ser invalidado.</t>
    </r>
  </si>
  <si>
    <t>1- Verificar se a Unidade tem gestão dos resultados (mensais e semanais) de MS Scanntech (ASR 5+, 1-4 e LC, separadamente); 
2- Verificar se a Unidade atinge a meta de PDVs segmentados aderidos para a ferramenta (PDV Aderido = PDV OK para implantar a ferramenta + PDVs já lidos) ou se evolui nesse resultado.
3- Verificar se o GV ASR ou GV Misto tem gestão/visibilidade das maiores perdas (Redes/Lojas) e/ou com share abaixo do Comercial no M-1.</t>
  </si>
  <si>
    <t>3. A Unidade atinge o resultado YTD do book do inventário &gt;=70,0% antes do pleito e &gt;=90,0% depois do pleito.
1. A Unidade atinge &gt;=70,0% do book do inventário depois do pleito ou apresenta falhas no cumprimento da TOR.
0. A Unidade NÃO atinge 70,0% do book do inventário depois do pleito.</t>
  </si>
  <si>
    <r>
      <t xml:space="preserve">1- Verificar se a Unidade está atingindo a meta de Rating Solicitações.
</t>
    </r>
    <r>
      <rPr>
        <b/>
        <sz val="9"/>
        <rFont val="Calibri"/>
        <family val="2"/>
        <scheme val="minor"/>
      </rPr>
      <t xml:space="preserve">
Obs.: 
O Indicador Rating Solicitações contemplará as Solicitações Campo Sem Investimento + Solicitações de Manutenção CAT</t>
    </r>
  </si>
  <si>
    <r>
      <t xml:space="preserve">1- Verifica se a aderência a última pesquisa é &gt;=90%;
2- Verificar se existe um plano de ação de engagement focado nas lacunas e oportunidades mapeadas.
</t>
    </r>
    <r>
      <rPr>
        <b/>
        <sz val="9"/>
        <rFont val="Calibri"/>
        <family val="2"/>
        <scheme val="minor"/>
      </rPr>
      <t xml:space="preserve">
Obs.:
O item será auditado por Unidade e a comparação deve ser feita entre o resultado Index das duas últimas pesquisas. </t>
    </r>
  </si>
  <si>
    <t>3. A Unidade está melhor do que o ano anterior no Turnover Total.
1. A Unidade NÃO está melhor do que o ano anterior no Turnover Total, mas tem um plano claro e focado nos gaps.
0. A Unidade NÃO sabe explicar o plano de Turnover.</t>
  </si>
  <si>
    <t>3. A Unidade garante 100% dos LTI's, TRI's, SIF's e FAI's cadastrados no Credit 360, com envio de notificação e alerta pelo dono da Operação.
0. Há falhas no envio de notificação e alerta pelo dono da Operação.</t>
  </si>
  <si>
    <r>
      <t xml:space="preserve">1- Verificar se a Unidade está atingindo a meta de Tratativas.
</t>
    </r>
    <r>
      <rPr>
        <b/>
        <sz val="9"/>
        <rFont val="Calibri"/>
        <family val="2"/>
        <scheme val="minor"/>
      </rPr>
      <t>Obs.:
Indicador acompanhado através do Painel Falhas</t>
    </r>
  </si>
  <si>
    <t>1- Verificar se os Equipamentos de emergência abaixo estão em condições de funcionamento e com inspeções em dia:
- Equipamentos de combate a Incêndio (Alarmes, Bombas, Hidrantes e Extintores)
- Saídas identificadas e desobstruídas;
- Desfibrilador;</t>
  </si>
  <si>
    <r>
      <t xml:space="preserve">1- Verificar se a Unidade mantém o controle de estoque com as quantidades mínimas e parâmetros de consumo ajustados;
2- Verificar se a unidade garante as baixas no SAP/SOC.
</t>
    </r>
    <r>
      <rPr>
        <b/>
        <sz val="9"/>
        <rFont val="Calibri"/>
        <family val="2"/>
        <scheme val="minor"/>
      </rPr>
      <t>Obs.:
Funcionários próprios ou terceiros identificados sem EPI ou com o EPI errado, o item será Zerado.</t>
    </r>
  </si>
  <si>
    <t>3. A Unidade garante que 100% dos incidentes estão registrados no Credit 360 e há tratativas corretivas e preventivas.
1. A Unidade garante 100%, mas há falhas na classificação de relatos para identificar potenciais acidentes.
0. A Unidade NÃO garante 100% dos registros.</t>
  </si>
  <si>
    <t>3. A Unidade garante todos os equipamentos inspecionados e em condições de uso. Saídas de incêndio desobstruídas e identificadas.
0. A Unidade tem falhas no processo ou equipamentos inoperantes.</t>
  </si>
  <si>
    <t>3. A Unidade garante os critérios para rotas de risco/críticas. Condutores são orientados e sabem explicar os critérios das rotas.
1. Existem até 04 (quatro) falhas no processo.
0. Existem mais de 04 (quatro) falhas no processo.</t>
  </si>
  <si>
    <t>Avaliação de Riscos</t>
  </si>
  <si>
    <t>1- Verificar se a unidade dispõe de medidas preventivas para reduzir riscos internos e externos:
- no PDV/Lojas;
- no Trânsito;
- de Violência.</t>
  </si>
  <si>
    <t>3. A Unidade mapeou os PDVs/Lojas com maior risco, garante os trechos críticos cadastrados no Radar Virtual da Orus, riscos internos identificados e o mapeamento da gerenciadora de risco realizado.
1. A Unidade possui as avaliações, mas existem falhas.
0. A Unidade NÃO tem pelo menos uma das avaliações de risco.</t>
  </si>
  <si>
    <t>1- Verificar se a matriz de treinamentos de segurança foi planejada e executada;
2- Verificar a aderência para os treinamentos de Direção Defensiva.
- Pilotagem de motos - Semestral;
- Direção para carros - Anual;
- Treinamento ASR - Semestral.</t>
  </si>
  <si>
    <t>3. A Unidade garante aderência de pelo menos 90,0% dos funcionários na matriz total e 100% em Direção Defensiva e Pilotagem no prazo.
1. A Unidade cumpre aderência de pelo menos 80,0% dos funcionários na matriz total e 100% em Direção Defensiva e Pilotagem no prazo.
0. A Unidade NÃO cumpre aderência de pelo menos 80,0% dos funcionários na matriz total ou não há 100% em Direção Defensiva e Pilotagem no prazo.</t>
  </si>
  <si>
    <t>3. A Unidade garante 100% dos treinamentos dos novos e das reciclagens/escolinhas.
1. A Unidade apresenta até 02 (duas) falhas nos treinamentos dos novos ou reciclagens/escolinhas.
0. A Unidade apresenta mais de 02 (duas) falhas nos treinamentos dos novos ou reciclagens.</t>
  </si>
  <si>
    <t>1- Verificar se novos condutores passaram por treinamento de Pilotagem antes de iniciarem suas atividades;
2- Verificar se condutores envolvidos em acidentes ou que receberam multa gravíssima e os que fecharam o mês com pontuação do Tech Safety &gt; 12 pontos, passaram por treinamento de Direção Defensiva / Escolinha antes de retornarem para suas atividades.</t>
  </si>
  <si>
    <t>COMPORTAMENTO E MONITORAMENTO DE SEGURANÇA</t>
  </si>
  <si>
    <r>
      <t xml:space="preserve">1- Verificar se as Reuniões de Segurança acontecem e cumprem os padrões conforme a TOR;
</t>
    </r>
    <r>
      <rPr>
        <b/>
        <sz val="9"/>
        <rFont val="Calibri"/>
        <family val="2"/>
        <scheme val="minor"/>
      </rPr>
      <t>Obs.:
A Unidade pode ter até 02 (duas) falhas de frequência por semestre conforme o calendário corporativo. Caso &gt; 02 (duas) falhas o item será zerado.</t>
    </r>
  </si>
  <si>
    <t>3. A Unidade garante os usuários de veículo em trajeto corretamente mapeados e 100% das blitz na frequência correta. MDTs aplicadas corretamente.
1. Até 02 (duas) falhas encontradas na execução da blitz ou até 02 (dois) funcionários NÃO mapeados no inventário de trajeto. MDTs aplicadas corretamente.
0. A Unidade NÃO garante o processo.</t>
  </si>
  <si>
    <t>3. A Unidade garante documentação de segurança e Integração de Segurança para os prestadores de serviço.
1. Há no máximo 02 (duas) integrações NÃO evidenciadas ou até 02 (duas) inconsistências de documentos de terceiros.
0. Há mais de 02 (duas) integrações NÃO evidenciadas ou inconsistências de documentos de terceiros.</t>
  </si>
  <si>
    <t>1- Verificar se prestadores de serviço apresentam:
- Plano de segurança e declaração de método;
- Permissão de trabalho em atividades de risco;
- PPRA, PCMSO, Controle de ASO e ficha de EPI;
2- Verificar se contratadas e visitantes recebem integração de segurança.</t>
  </si>
  <si>
    <r>
      <t xml:space="preserve">1- Verificar se o líder garante que as MDTs sejam corretamente aplicadas para desvios comportamentais em até 07 dias;
2- Verificar se o líder garante o GSR e ASO da equipe realizados dentro do prazo.
</t>
    </r>
    <r>
      <rPr>
        <b/>
        <sz val="9"/>
        <rFont val="Calibri"/>
        <family val="2"/>
        <scheme val="minor"/>
      </rPr>
      <t>Obs.:
Caso a liderança (exceto RNs Banda VII) possua MDT por comportamento ou multa gravíssima, o item será zerado.</t>
    </r>
  </si>
  <si>
    <t>1- Verificar se a Unidade possui um mapeamento de Turnover e se atinge a meta de Turnover Total.</t>
  </si>
  <si>
    <t>1- Verificar se Unidade atualiza os dados de frota e condutores no SGF (termo, documento do veículo, CNH e inventário) e estes estão devidamente assinados e digitalizados;
2- Verificar se o cadastro na Pointer dos condutores e Chave Dallas estão corretos, se os condutores (primários e secundários) tem Chave Dallas individual e se a Unidade tem no mínimo 03 (três) Chave Dallas de reserva.</t>
  </si>
  <si>
    <r>
      <t xml:space="preserve">1- Verificar se a Unidade respeita a quantidade mínima de Promotores com setores ativos e rota cadastrada no Promax vs SEAV aprovado para a Operação;
2- Verificar se as rotas cadastradas para os Promotores seguem as diretrizes definidas pela DVD (mín 4 / máx 22 PDVs por Promotor);
</t>
    </r>
    <r>
      <rPr>
        <b/>
        <sz val="9"/>
        <rFont val="Calibri"/>
        <family val="2"/>
        <scheme val="minor"/>
      </rPr>
      <t>Obs.:
A Unidade poderá ter no máximo 01 (um) Promotor Ferista para cada 12 (doze) Promotores com setores ativos com rota cadastrada na Operação.</t>
    </r>
    <r>
      <rPr>
        <sz val="9"/>
        <rFont val="Calibri"/>
        <family val="2"/>
        <scheme val="minor"/>
      </rPr>
      <t xml:space="preserve">
</t>
    </r>
    <r>
      <rPr>
        <b/>
        <sz val="9"/>
        <rFont val="Calibri"/>
        <family val="2"/>
        <scheme val="minor"/>
      </rPr>
      <t xml:space="preserve">Ex 1) </t>
    </r>
    <r>
      <rPr>
        <sz val="9"/>
        <rFont val="Calibri"/>
        <family val="2"/>
        <scheme val="minor"/>
      </rPr>
      <t xml:space="preserve">13 Promotores no SEAV - </t>
    </r>
    <r>
      <rPr>
        <b/>
        <sz val="9"/>
        <rFont val="Calibri"/>
        <family val="2"/>
        <scheme val="minor"/>
      </rPr>
      <t>Mín</t>
    </r>
    <r>
      <rPr>
        <sz val="9"/>
        <rFont val="Calibri"/>
        <family val="2"/>
        <scheme val="minor"/>
      </rPr>
      <t xml:space="preserve"> 12 setores ativos com rota cadastrada / </t>
    </r>
    <r>
      <rPr>
        <b/>
        <sz val="9"/>
        <rFont val="Calibri"/>
        <family val="2"/>
        <scheme val="minor"/>
      </rPr>
      <t>Máx</t>
    </r>
    <r>
      <rPr>
        <sz val="9"/>
        <rFont val="Calibri"/>
        <family val="2"/>
        <scheme val="minor"/>
      </rPr>
      <t xml:space="preserve"> 1 Ferista;
</t>
    </r>
    <r>
      <rPr>
        <b/>
        <sz val="9"/>
        <rFont val="Calibri"/>
        <family val="2"/>
        <scheme val="minor"/>
      </rPr>
      <t>Ex 2)</t>
    </r>
    <r>
      <rPr>
        <sz val="9"/>
        <rFont val="Calibri"/>
        <family val="2"/>
        <scheme val="minor"/>
      </rPr>
      <t xml:space="preserve"> 18 Promotores no SEAV - </t>
    </r>
    <r>
      <rPr>
        <b/>
        <sz val="9"/>
        <rFont val="Calibri"/>
        <family val="2"/>
        <scheme val="minor"/>
      </rPr>
      <t>Mín</t>
    </r>
    <r>
      <rPr>
        <sz val="9"/>
        <rFont val="Calibri"/>
        <family val="2"/>
        <scheme val="minor"/>
      </rPr>
      <t xml:space="preserve"> 17 setores ativos com rota cadastrada / </t>
    </r>
    <r>
      <rPr>
        <b/>
        <sz val="9"/>
        <rFont val="Calibri"/>
        <family val="2"/>
        <scheme val="minor"/>
      </rPr>
      <t>Máx</t>
    </r>
    <r>
      <rPr>
        <sz val="9"/>
        <rFont val="Calibri"/>
        <family val="2"/>
        <scheme val="minor"/>
      </rPr>
      <t xml:space="preserve"> 2 Feristas;
</t>
    </r>
    <r>
      <rPr>
        <b/>
        <sz val="9"/>
        <rFont val="Calibri"/>
        <family val="2"/>
        <scheme val="minor"/>
      </rPr>
      <t xml:space="preserve">Ex 3) </t>
    </r>
    <r>
      <rPr>
        <sz val="9"/>
        <rFont val="Calibri"/>
        <family val="2"/>
        <scheme val="minor"/>
      </rPr>
      <t xml:space="preserve">26 Promotores no SEAV - </t>
    </r>
    <r>
      <rPr>
        <b/>
        <sz val="9"/>
        <rFont val="Calibri"/>
        <family val="2"/>
        <scheme val="minor"/>
      </rPr>
      <t>Mín</t>
    </r>
    <r>
      <rPr>
        <sz val="9"/>
        <rFont val="Calibri"/>
        <family val="2"/>
        <scheme val="minor"/>
      </rPr>
      <t xml:space="preserve"> 24 setores ativos com rota cadastrada / </t>
    </r>
    <r>
      <rPr>
        <b/>
        <sz val="9"/>
        <rFont val="Calibri"/>
        <family val="2"/>
        <scheme val="minor"/>
      </rPr>
      <t>Máx</t>
    </r>
    <r>
      <rPr>
        <sz val="9"/>
        <rFont val="Calibri"/>
        <family val="2"/>
        <scheme val="minor"/>
      </rPr>
      <t xml:space="preserve"> 2 Feristas.</t>
    </r>
  </si>
  <si>
    <t>3. A Unidade está com o QLP SEAV &gt;=90,0% do Aprovado e cumpre com todos os itens de verificação.
1. A Unidade está com o QLP SEAV &gt;=80,0% do Aprovado e cumpre com todos os itens de verificação.
0. A Unidade está com o QLP SEAV &lt;80,0% do Aprovado ou não cumpre 01 (um) dos itens de verificação.</t>
  </si>
  <si>
    <t>3. A Unidade garante &lt;4,0% de itens zerados e sem diferença de estoque. 
1. A Unidade garante &lt;=10,0% itens zerados ou apresenta anomalias no estoque. 
0. NÃO existe gestão do consumo ou itens zerados é &gt;10,0%.</t>
  </si>
  <si>
    <t>3. A Unidade garante &lt;=12pts per capita e tem &lt;=3% de casos de não associação de motos.
1. A Unidade garante &lt;=15pts per capita ou tem &lt;=5% de casos de não associação de motos.     
0. A Unidade está acima de 15pts per capita ou tem mais de 5% de casos de não associação de motos.</t>
  </si>
  <si>
    <t xml:space="preserve">3. A Unidade garante 100% dos Requisitos Legais (GED) atualizados.                      
1. A Unidade garante 90% dos Requisitos Legais (GED) atualizados.
0. A Unidade NÃO garante o mínimo de 90% dos Requisitos Legais (GED) atualizados. </t>
  </si>
  <si>
    <r>
      <t xml:space="preserve">1- Verificar se existem PDVs cadastrados em um Setor Ativo, com visita regular (ao menos uma visita em cada mês), sem compra há mais de 3 meses, que não possuem solicitação de inativação;
2- Verificar, na rota de auditoria, se os RNs/VDEs sabem realizar o fluxo de inativação;
</t>
    </r>
    <r>
      <rPr>
        <b/>
        <sz val="9"/>
        <rFont val="Calibri"/>
        <family val="2"/>
        <scheme val="minor"/>
      </rPr>
      <t>Obs.:
Setor Ativo:</t>
    </r>
    <r>
      <rPr>
        <sz val="9"/>
        <rFont val="Calibri"/>
        <family val="2"/>
        <scheme val="minor"/>
      </rPr>
      <t xml:space="preserve"> RN/VDE atrelado ao Setor.</t>
    </r>
  </si>
  <si>
    <t>3. A Unidade está atingindo a meta de % Aderidos RGB.
1. A Unidade está atingindo &gt;=90% da meta de % Aderidos RGB.
0. A Unidade não atinge o mínimo de 90% da meta de % Aderidos RGB.</t>
  </si>
  <si>
    <t>3. A Unidade possui 90% dos funcionários com pontuação &gt;=80%.
1. A Unidade possui 90% dos funcionários com pontuação &gt;=70%.
0. A Unidade NÃO possui 90% dos funcionários com pontuação &lt;70%.</t>
  </si>
  <si>
    <t>3. A Unidade cumpre &gt;=80% da documentação exigida no GED.
1. A Unidade cumpre &gt;=60% e &lt;80% da documentação exigida no GED.
0. A Unidade cumpre &lt;60% de aderência ao GED.</t>
  </si>
  <si>
    <t>3. A Unidade tem Turnover de Novos Admitidos (Turnover New Hire) &lt;=10,0%.
1. A Unidade tem Turnover de Novos Admitidos (Turnover New Hire) &gt;10,0%, mas segue o regulamento de integração.
0. A Unidade NÃO segue o regulamento de integração.</t>
  </si>
  <si>
    <t>3. Plano de Ação consistente, aderência a última pesquisa &gt;=90% e resultado da última pesquisa de engagement (anual ou light) &gt;=80%.
1. Plano de Ação consistente e aderência da última pesquisa &gt;=90%.
0. Sem consistência no Plano de Ação ou Aderência &lt;90%.</t>
  </si>
  <si>
    <t>3. A Unidade garante todos os itens de verificação.
1. A Unidade garante o envio para o GD e apresenta falha em 01 (um) item de verificação.
0. O Processo de GD NÃO é realizado ou a Unidade apresenta falha em mais de 01 (um) item de verificação.</t>
  </si>
  <si>
    <t>3. A Unidade garante 100% das MDTs aplicadas corretamente e 100% dos ASO's em dia.
1. A Unidade garante &gt;=90% das MDTs aplicadas corretamente e 90% dos ASO's em dia.
0. A Unidade NÃO garante &gt;=90% das MDTs aplicadas corretamente ou possui &lt;90% dos ASO's em dia.</t>
  </si>
  <si>
    <r>
      <t xml:space="preserve">1- Verificar o preenchimento e análise trimestral do checklist de Loss.
2- Verificar se os itens não conformes estão sendo tratados ou se a Unidade apresenta a RC aprovada no sistema ou mapeamento de CAPEX;
3- Verificar se o GG e Analista de Risco realizam uma reunião de prestação de contas mensal (RPS Gestão).
</t>
    </r>
    <r>
      <rPr>
        <b/>
        <sz val="9"/>
        <rFont val="Calibri"/>
        <family val="2"/>
        <scheme val="minor"/>
      </rPr>
      <t>Obs.:
Correções em andamento: Chamado de manutenção aberto, RC aprovada e/ou CAPEX endereçado.
Em caso de compartilhamento de senha na portaria e/ou no caixa o item será zerado.</t>
    </r>
  </si>
  <si>
    <t>3. A Unidade garante o preenchimento do checklist corretamente no trimestre, os itens não conformes possuem plano de correção e nenhuma anomalia de processo encontrada durante a auditoria.
1. A Unidade garante o checklist preenchido corretamente todo trimestre, os itens não conformes estão endereçados e durante auditoria foi encontrado até 01 (uma) anomalia de processo.
0. A Unidade apresenta falha no preenchimento do checklist ou NÃO tem plano de correção dos itens não conformes ou foi encontrado mais de 01 (uma) falha de processo durante a auditoria.</t>
  </si>
  <si>
    <t>1- Verificar se a Unidade utiliza ferramentas de gestão para o indicador;
2- Verificar se a unidade segue a matriz de cobrança e dá consequências conforme alinhamento com o CSC.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</si>
</sst>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_);_([$€]* \(#,##0.00\);_([$€]* &quot;-&quot;??_);_(@_)"/>
    <numFmt numFmtId="165" formatCode="0.0"/>
    <numFmt numFmtId="166" formatCode="_ * #,##0.00_ ;_ * \-#,##0.00_ ;_ * &quot;-&quot;??_ ;_ @_ "/>
    <numFmt numFmtId="167" formatCode="_(* #,##0.0_);_(* \(#,##0.0\);_(* &quot;-&quot;??_);_(@_)"/>
    <numFmt numFmtId="168" formatCode="0.0%"/>
  </numFmts>
  <fonts count="23">
    <font>
      <sz val="11"/>
      <color theme="1"/>
      <name val="Calibri"/>
      <family val="2"/>
      <scheme val="minor"/>
    </font>
    <font>
      <sz val="11"/>
      <color theme="1"/>
      <name val="Calibri"/>
      <family val="2"/>
      <scheme val="minor"/>
    </font>
    <font>
      <sz val="10"/>
      <color theme="1"/>
      <name val="Calibri"/>
      <family val="2"/>
      <scheme val="minor"/>
    </font>
    <font>
      <sz val="10"/>
      <name val="Arial"/>
      <family val="2"/>
    </font>
    <font>
      <b/>
      <sz val="10"/>
      <color indexed="9"/>
      <name val="Calibri"/>
      <family val="2"/>
      <scheme val="minor"/>
    </font>
    <font>
      <b/>
      <sz val="10"/>
      <color theme="1"/>
      <name val="Calibri"/>
      <family val="2"/>
      <scheme val="minor"/>
    </font>
    <font>
      <sz val="10"/>
      <color indexed="9"/>
      <name val="Calibri"/>
      <family val="2"/>
      <scheme val="minor"/>
    </font>
    <font>
      <b/>
      <sz val="9"/>
      <name val="Calibri"/>
      <family val="2"/>
      <scheme val="minor"/>
    </font>
    <font>
      <sz val="9"/>
      <name val="Calibri"/>
      <family val="2"/>
      <scheme val="minor"/>
    </font>
    <font>
      <b/>
      <sz val="10"/>
      <name val="Calibri"/>
      <family val="2"/>
      <scheme val="minor"/>
    </font>
    <font>
      <sz val="10"/>
      <name val="Calibri"/>
      <family val="2"/>
      <scheme val="minor"/>
    </font>
    <font>
      <b/>
      <sz val="11"/>
      <color rgb="FF00B0F0"/>
      <name val="Calibri"/>
      <family val="2"/>
      <scheme val="minor"/>
    </font>
    <font>
      <b/>
      <sz val="11"/>
      <color rgb="FF00B050"/>
      <name val="Calibri"/>
      <family val="2"/>
      <scheme val="minor"/>
    </font>
    <font>
      <b/>
      <sz val="10"/>
      <color indexed="10"/>
      <name val="Calibri"/>
      <family val="2"/>
      <scheme val="minor"/>
    </font>
    <font>
      <b/>
      <u val="doubleAccounting"/>
      <sz val="10"/>
      <color theme="0" tint="-0.499984740745262"/>
      <name val="Calibri"/>
      <family val="2"/>
      <scheme val="minor"/>
    </font>
    <font>
      <sz val="9"/>
      <color indexed="10"/>
      <name val="Geneva"/>
    </font>
    <font>
      <sz val="9"/>
      <color theme="1"/>
      <name val="Calibri"/>
      <family val="2"/>
      <scheme val="minor"/>
    </font>
    <font>
      <sz val="10"/>
      <color theme="0"/>
      <name val="Calibri"/>
      <family val="2"/>
      <scheme val="minor"/>
    </font>
    <font>
      <sz val="11"/>
      <color indexed="8"/>
      <name val="Calibri"/>
      <family val="2"/>
    </font>
    <font>
      <b/>
      <sz val="9"/>
      <color indexed="8"/>
      <name val="Calibri"/>
      <family val="2"/>
      <scheme val="minor"/>
    </font>
    <font>
      <b/>
      <sz val="9"/>
      <color rgb="FF000000"/>
      <name val="Calibri"/>
      <family val="2"/>
      <scheme val="minor"/>
    </font>
    <font>
      <sz val="9"/>
      <color theme="0"/>
      <name val="Calibri"/>
      <family val="2"/>
      <scheme val="minor"/>
    </font>
    <font>
      <sz val="11"/>
      <color theme="0"/>
      <name val="Calibri"/>
      <family val="2"/>
      <scheme val="minor"/>
    </font>
  </fonts>
  <fills count="7">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rgb="FFEEECE1"/>
        <bgColor indexed="64"/>
      </patternFill>
    </fill>
    <fill>
      <patternFill patternType="solid">
        <fgColor theme="9" tint="0.79998168889431442"/>
        <bgColor indexed="64"/>
      </patternFill>
    </fill>
  </fills>
  <borders count="9">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top/>
      <bottom style="thin">
        <color theme="0"/>
      </bottom>
      <diagonal/>
    </border>
  </borders>
  <cellStyleXfs count="15">
    <xf numFmtId="0" fontId="0" fillId="0" borderId="0"/>
    <xf numFmtId="164" fontId="3" fillId="0" borderId="0"/>
    <xf numFmtId="164" fontId="1" fillId="0" borderId="0"/>
    <xf numFmtId="43" fontId="1" fillId="0" borderId="0" applyFont="0" applyFill="0" applyBorder="0" applyAlignment="0" applyProtection="0"/>
    <xf numFmtId="166" fontId="18" fillId="0" borderId="0" applyFont="0" applyFill="0" applyBorder="0" applyAlignment="0" applyProtection="0"/>
    <xf numFmtId="0" fontId="15" fillId="0" borderId="0"/>
    <xf numFmtId="43" fontId="1" fillId="0" borderId="0" applyFont="0" applyFill="0" applyBorder="0" applyAlignment="0" applyProtection="0"/>
    <xf numFmtId="9" fontId="1" fillId="0" borderId="0" applyFont="0" applyFill="0" applyBorder="0" applyAlignment="0" applyProtection="0"/>
    <xf numFmtId="164" fontId="1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110">
    <xf numFmtId="0" fontId="0" fillId="0" borderId="0" xfId="0"/>
    <xf numFmtId="0" fontId="2" fillId="0" borderId="0" xfId="0" applyFont="1"/>
    <xf numFmtId="0" fontId="2" fillId="2" borderId="0" xfId="0" applyFont="1" applyFill="1"/>
    <xf numFmtId="165" fontId="6" fillId="4" borderId="1" xfId="1" applyNumberFormat="1" applyFont="1" applyFill="1" applyBorder="1" applyAlignment="1">
      <alignment horizontal="center" vertical="center"/>
    </xf>
    <xf numFmtId="165" fontId="7" fillId="5" borderId="4" xfId="1" applyNumberFormat="1" applyFont="1" applyFill="1" applyBorder="1" applyAlignment="1">
      <alignment horizontal="center" vertical="center"/>
    </xf>
    <xf numFmtId="0" fontId="8" fillId="5" borderId="5" xfId="1" applyNumberFormat="1" applyFont="1" applyFill="1" applyBorder="1" applyAlignment="1">
      <alignment horizontal="left" vertical="center" wrapText="1"/>
    </xf>
    <xf numFmtId="164" fontId="4" fillId="2" borderId="0" xfId="1" applyFont="1" applyFill="1" applyAlignment="1">
      <alignment horizontal="center" vertical="center"/>
    </xf>
    <xf numFmtId="165" fontId="9" fillId="0" borderId="0" xfId="1" applyNumberFormat="1" applyFont="1" applyAlignment="1">
      <alignment horizontal="center" vertical="center"/>
    </xf>
    <xf numFmtId="164" fontId="10" fillId="0" borderId="0" xfId="1" applyFont="1" applyAlignment="1">
      <alignment horizontal="center" vertical="top" wrapText="1"/>
    </xf>
    <xf numFmtId="0" fontId="10" fillId="0" borderId="0" xfId="1" applyNumberFormat="1" applyFont="1" applyAlignment="1">
      <alignment horizontal="center" vertical="top" wrapText="1"/>
    </xf>
    <xf numFmtId="164" fontId="9" fillId="0" borderId="0" xfId="2" applyFont="1" applyAlignment="1">
      <alignment horizontal="right" vertical="center"/>
    </xf>
    <xf numFmtId="164" fontId="9" fillId="2" borderId="0" xfId="2" applyFont="1" applyFill="1" applyAlignment="1">
      <alignment vertical="top"/>
    </xf>
    <xf numFmtId="164" fontId="9" fillId="2" borderId="0" xfId="2" applyFont="1" applyFill="1" applyAlignment="1">
      <alignment horizontal="right" vertical="center"/>
    </xf>
    <xf numFmtId="164" fontId="9" fillId="2" borderId="0" xfId="2" applyFont="1" applyFill="1" applyAlignment="1">
      <alignment vertical="center"/>
    </xf>
    <xf numFmtId="164" fontId="11" fillId="2" borderId="0" xfId="1" applyFont="1" applyFill="1" applyAlignment="1">
      <alignment vertical="center"/>
    </xf>
    <xf numFmtId="164" fontId="12" fillId="2" borderId="0" xfId="1" applyFont="1" applyFill="1" applyAlignment="1">
      <alignment vertical="center"/>
    </xf>
    <xf numFmtId="164" fontId="13" fillId="2" borderId="0" xfId="1" applyFont="1" applyFill="1" applyAlignment="1">
      <alignment vertical="center"/>
    </xf>
    <xf numFmtId="164" fontId="14" fillId="2" borderId="0" xfId="2" applyFont="1" applyFill="1" applyAlignment="1">
      <alignment vertical="top"/>
    </xf>
    <xf numFmtId="164" fontId="5" fillId="3" borderId="0" xfId="1" applyFont="1" applyFill="1" applyAlignment="1">
      <alignment vertical="center"/>
    </xf>
    <xf numFmtId="0" fontId="6" fillId="4" borderId="2" xfId="1" applyNumberFormat="1" applyFont="1" applyFill="1" applyBorder="1" applyAlignment="1">
      <alignment vertical="center"/>
    </xf>
    <xf numFmtId="0" fontId="6" fillId="4" borderId="3" xfId="1" applyNumberFormat="1" applyFont="1" applyFill="1" applyBorder="1" applyAlignment="1">
      <alignment vertical="center"/>
    </xf>
    <xf numFmtId="0" fontId="4" fillId="4" borderId="3" xfId="1" applyNumberFormat="1" applyFont="1" applyFill="1" applyBorder="1" applyAlignment="1">
      <alignment vertical="center"/>
    </xf>
    <xf numFmtId="0" fontId="1" fillId="0" borderId="0" xfId="0" applyFont="1"/>
    <xf numFmtId="0" fontId="2" fillId="2" borderId="0" xfId="0" applyFont="1" applyFill="1" applyAlignment="1">
      <alignment horizontal="center" wrapText="1"/>
    </xf>
    <xf numFmtId="0" fontId="2" fillId="2" borderId="0" xfId="0" applyFont="1" applyFill="1" applyAlignment="1">
      <alignment wrapText="1"/>
    </xf>
    <xf numFmtId="165" fontId="6" fillId="4" borderId="6" xfId="1" applyNumberFormat="1" applyFont="1" applyFill="1" applyBorder="1" applyAlignment="1">
      <alignment horizontal="center" vertical="center" wrapText="1"/>
    </xf>
    <xf numFmtId="0" fontId="16" fillId="0" borderId="0" xfId="0" applyFont="1"/>
    <xf numFmtId="0" fontId="6" fillId="4" borderId="2" xfId="1" applyNumberFormat="1" applyFont="1" applyFill="1" applyBorder="1" applyAlignment="1">
      <alignment vertical="center" wrapText="1"/>
    </xf>
    <xf numFmtId="0" fontId="6" fillId="4" borderId="3" xfId="1" applyNumberFormat="1" applyFont="1" applyFill="1" applyBorder="1" applyAlignment="1">
      <alignment vertical="center" wrapText="1"/>
    </xf>
    <xf numFmtId="0" fontId="7" fillId="5" borderId="5" xfId="1" applyNumberFormat="1" applyFont="1" applyFill="1" applyBorder="1" applyAlignment="1">
      <alignment horizontal="center" vertical="center" wrapText="1"/>
    </xf>
    <xf numFmtId="0" fontId="0" fillId="0" borderId="0" xfId="0" applyFont="1"/>
    <xf numFmtId="0" fontId="2" fillId="0" borderId="0" xfId="0" applyFont="1"/>
    <xf numFmtId="165" fontId="6" fillId="4" borderId="6" xfId="1" applyNumberFormat="1" applyFont="1" applyFill="1" applyBorder="1" applyAlignment="1">
      <alignment horizontal="center" vertical="center"/>
    </xf>
    <xf numFmtId="165" fontId="7" fillId="5" borderId="6" xfId="1" applyNumberFormat="1" applyFont="1" applyFill="1" applyBorder="1" applyAlignment="1">
      <alignment horizontal="center" vertical="center"/>
    </xf>
    <xf numFmtId="0" fontId="8" fillId="5" borderId="6" xfId="1" applyNumberFormat="1" applyFont="1" applyFill="1" applyBorder="1" applyAlignment="1">
      <alignment vertical="center" wrapText="1"/>
    </xf>
    <xf numFmtId="0" fontId="8" fillId="5" borderId="4" xfId="1" applyNumberFormat="1" applyFont="1" applyFill="1" applyBorder="1" applyAlignment="1">
      <alignment horizontal="left" vertical="center" wrapText="1"/>
    </xf>
    <xf numFmtId="0" fontId="8" fillId="5" borderId="6" xfId="1" applyNumberFormat="1" applyFont="1" applyFill="1" applyBorder="1" applyAlignment="1">
      <alignment horizontal="left" vertical="center" wrapText="1"/>
    </xf>
    <xf numFmtId="0" fontId="8" fillId="5" borderId="1" xfId="1" applyNumberFormat="1" applyFont="1" applyFill="1" applyBorder="1" applyAlignment="1">
      <alignment horizontal="left" vertical="center" wrapText="1"/>
    </xf>
    <xf numFmtId="0" fontId="16" fillId="0" borderId="0" xfId="0" applyFont="1"/>
    <xf numFmtId="165" fontId="7" fillId="5" borderId="7" xfId="1" applyNumberFormat="1" applyFont="1" applyFill="1" applyBorder="1" applyAlignment="1">
      <alignment horizontal="center" vertical="center"/>
    </xf>
    <xf numFmtId="165" fontId="6" fillId="4" borderId="3" xfId="1" applyNumberFormat="1" applyFont="1" applyFill="1" applyBorder="1" applyAlignment="1">
      <alignment horizontal="left" vertical="center" wrapText="1"/>
    </xf>
    <xf numFmtId="0" fontId="7" fillId="5" borderId="5" xfId="1" applyNumberFormat="1" applyFont="1" applyFill="1" applyBorder="1" applyAlignment="1">
      <alignment horizontal="left" vertical="center" wrapText="1"/>
    </xf>
    <xf numFmtId="0" fontId="0" fillId="2" borderId="0" xfId="0" applyFont="1" applyFill="1"/>
    <xf numFmtId="167" fontId="4" fillId="2" borderId="0" xfId="6" applyNumberFormat="1" applyFont="1" applyFill="1" applyAlignment="1">
      <alignment horizontal="center" vertical="center" wrapText="1"/>
    </xf>
    <xf numFmtId="1" fontId="8" fillId="6" borderId="6" xfId="7" applyNumberFormat="1" applyFont="1" applyFill="1" applyBorder="1" applyAlignment="1" applyProtection="1">
      <alignment horizontal="center" vertical="center" wrapText="1"/>
      <protection locked="0"/>
    </xf>
    <xf numFmtId="0" fontId="17" fillId="0" borderId="0" xfId="0" applyFont="1"/>
    <xf numFmtId="0" fontId="21" fillId="0" borderId="0" xfId="0" applyFont="1"/>
    <xf numFmtId="9" fontId="6" fillId="4" borderId="0" xfId="6" applyNumberFormat="1" applyFont="1" applyFill="1" applyAlignment="1" applyProtection="1">
      <alignment horizontal="center" vertical="top" wrapText="1"/>
    </xf>
    <xf numFmtId="165" fontId="6" fillId="4" borderId="0" xfId="6" applyNumberFormat="1" applyFont="1" applyFill="1" applyAlignment="1" applyProtection="1">
      <alignment horizontal="center" vertical="center" wrapText="1"/>
    </xf>
    <xf numFmtId="0" fontId="8" fillId="5" borderId="6" xfId="1" applyNumberFormat="1" applyFont="1" applyFill="1" applyBorder="1" applyAlignment="1">
      <alignment horizontal="center" vertical="center" wrapText="1"/>
    </xf>
    <xf numFmtId="165" fontId="6" fillId="4" borderId="3" xfId="1" applyNumberFormat="1" applyFont="1" applyFill="1" applyBorder="1" applyAlignment="1">
      <alignment horizontal="center" vertical="center" wrapText="1"/>
    </xf>
    <xf numFmtId="2" fontId="5" fillId="3" borderId="0" xfId="1" applyNumberFormat="1" applyFont="1" applyFill="1" applyAlignment="1">
      <alignment horizontal="center" vertical="center"/>
    </xf>
    <xf numFmtId="9" fontId="5" fillId="3" borderId="0" xfId="7" applyFont="1" applyFill="1" applyAlignment="1">
      <alignment horizontal="center" vertical="center"/>
    </xf>
    <xf numFmtId="9" fontId="6" fillId="4" borderId="3" xfId="7" applyFont="1" applyFill="1" applyBorder="1" applyAlignment="1">
      <alignment horizontal="center" vertical="center" wrapText="1"/>
    </xf>
    <xf numFmtId="168" fontId="5" fillId="3" borderId="0" xfId="7" applyNumberFormat="1" applyFont="1" applyFill="1" applyAlignment="1">
      <alignment horizontal="center" vertical="center"/>
    </xf>
    <xf numFmtId="168" fontId="6" fillId="4" borderId="3" xfId="7" applyNumberFormat="1" applyFont="1" applyFill="1" applyBorder="1" applyAlignment="1">
      <alignment horizontal="center" vertical="center" wrapText="1"/>
    </xf>
    <xf numFmtId="168" fontId="8" fillId="5" borderId="6" xfId="7" applyNumberFormat="1" applyFont="1" applyFill="1" applyBorder="1" applyAlignment="1">
      <alignment horizontal="center" vertical="center" wrapText="1"/>
    </xf>
    <xf numFmtId="0" fontId="17" fillId="4" borderId="3" xfId="1" applyNumberFormat="1" applyFont="1" applyFill="1" applyBorder="1" applyAlignment="1">
      <alignment horizontal="center" vertical="center" wrapText="1"/>
    </xf>
    <xf numFmtId="9" fontId="17" fillId="4" borderId="3" xfId="7" applyFont="1" applyFill="1" applyBorder="1" applyAlignment="1">
      <alignment horizontal="center" vertical="center" wrapText="1"/>
    </xf>
    <xf numFmtId="165" fontId="5" fillId="3" borderId="0" xfId="1" applyNumberFormat="1" applyFont="1" applyFill="1" applyAlignment="1">
      <alignment horizontal="center" vertical="center"/>
    </xf>
    <xf numFmtId="0" fontId="7" fillId="5" borderId="6" xfId="1" applyNumberFormat="1" applyFont="1" applyFill="1" applyBorder="1" applyAlignment="1">
      <alignment horizontal="left" vertical="center" wrapText="1"/>
    </xf>
    <xf numFmtId="0" fontId="8" fillId="5" borderId="6" xfId="8" applyNumberFormat="1" applyFont="1" applyFill="1" applyBorder="1" applyAlignment="1">
      <alignment horizontal="left" vertical="center" wrapText="1"/>
    </xf>
    <xf numFmtId="0" fontId="8" fillId="5" borderId="6" xfId="0" applyFont="1" applyFill="1" applyBorder="1" applyAlignment="1">
      <alignment vertical="center" wrapText="1"/>
    </xf>
    <xf numFmtId="0" fontId="16" fillId="5" borderId="6" xfId="5" applyFont="1" applyFill="1" applyBorder="1" applyAlignment="1">
      <alignment vertical="center" wrapText="1"/>
    </xf>
    <xf numFmtId="0" fontId="10" fillId="4" borderId="3" xfId="1" applyNumberFormat="1" applyFont="1" applyFill="1" applyBorder="1" applyAlignment="1">
      <alignment vertical="center" wrapText="1"/>
    </xf>
    <xf numFmtId="0" fontId="2" fillId="0" borderId="0" xfId="0" applyFont="1" applyAlignment="1">
      <alignment horizontal="center"/>
    </xf>
    <xf numFmtId="0" fontId="0" fillId="0" borderId="0" xfId="0" applyAlignment="1">
      <alignment wrapText="1"/>
    </xf>
    <xf numFmtId="0" fontId="0" fillId="0" borderId="0" xfId="0" applyAlignment="1">
      <alignment horizontal="center"/>
    </xf>
    <xf numFmtId="0" fontId="2" fillId="2" borderId="0" xfId="0" applyFont="1" applyFill="1" applyAlignment="1">
      <alignment horizontal="center"/>
    </xf>
    <xf numFmtId="0" fontId="0" fillId="2" borderId="0" xfId="0" applyFill="1"/>
    <xf numFmtId="0" fontId="0" fillId="2" borderId="0" xfId="0" applyFill="1" applyAlignment="1">
      <alignment horizontal="center"/>
    </xf>
    <xf numFmtId="0" fontId="16" fillId="5" borderId="6" xfId="1" applyNumberFormat="1" applyFont="1" applyFill="1" applyBorder="1" applyAlignment="1">
      <alignment vertical="center" wrapText="1"/>
    </xf>
    <xf numFmtId="0" fontId="16" fillId="5" borderId="6" xfId="1" applyNumberFormat="1" applyFont="1" applyFill="1" applyBorder="1" applyAlignment="1">
      <alignment horizontal="left" vertical="center" wrapText="1"/>
    </xf>
    <xf numFmtId="0" fontId="7" fillId="5" borderId="6" xfId="1" applyNumberFormat="1" applyFont="1" applyFill="1" applyBorder="1" applyAlignment="1">
      <alignment vertical="center" wrapText="1"/>
    </xf>
    <xf numFmtId="0" fontId="6" fillId="4" borderId="2" xfId="1" applyNumberFormat="1" applyFont="1" applyFill="1" applyBorder="1" applyAlignment="1">
      <alignment horizontal="left" vertical="center" wrapText="1"/>
    </xf>
    <xf numFmtId="0" fontId="6" fillId="4" borderId="3" xfId="1" applyNumberFormat="1" applyFont="1" applyFill="1" applyBorder="1" applyAlignment="1">
      <alignment horizontal="left" vertical="center" wrapText="1"/>
    </xf>
    <xf numFmtId="164" fontId="4" fillId="2" borderId="0" xfId="1" applyFont="1" applyFill="1" applyAlignment="1">
      <alignment horizontal="center" vertical="center" wrapText="1"/>
    </xf>
    <xf numFmtId="0" fontId="7" fillId="5" borderId="1" xfId="1" applyNumberFormat="1" applyFont="1" applyFill="1" applyBorder="1" applyAlignment="1">
      <alignment horizontal="left" vertical="center" wrapText="1"/>
    </xf>
    <xf numFmtId="0" fontId="22" fillId="0" borderId="0" xfId="0" applyFont="1"/>
    <xf numFmtId="0" fontId="8" fillId="5" borderId="6" xfId="5" applyFont="1" applyFill="1" applyBorder="1" applyAlignment="1">
      <alignment horizontal="left" vertical="center" wrapText="1"/>
    </xf>
    <xf numFmtId="0" fontId="20" fillId="5" borderId="6" xfId="1" applyNumberFormat="1" applyFont="1" applyFill="1" applyBorder="1" applyAlignment="1">
      <alignment vertical="center" wrapText="1"/>
    </xf>
    <xf numFmtId="0" fontId="19" fillId="5" borderId="6" xfId="1" applyNumberFormat="1" applyFont="1" applyFill="1" applyBorder="1" applyAlignment="1">
      <alignment vertical="center" wrapText="1"/>
    </xf>
    <xf numFmtId="0" fontId="20" fillId="5" borderId="1" xfId="1" applyNumberFormat="1" applyFont="1" applyFill="1" applyBorder="1" applyAlignment="1">
      <alignment horizontal="left" vertical="center" wrapText="1"/>
    </xf>
    <xf numFmtId="0" fontId="19" fillId="5" borderId="1" xfId="1" applyNumberFormat="1" applyFont="1" applyFill="1" applyBorder="1" applyAlignment="1">
      <alignment vertical="center" wrapText="1"/>
    </xf>
    <xf numFmtId="1" fontId="8" fillId="5" borderId="6" xfId="1" applyNumberFormat="1" applyFont="1" applyFill="1" applyBorder="1" applyAlignment="1">
      <alignment horizontal="center" vertical="center" wrapText="1"/>
    </xf>
    <xf numFmtId="164" fontId="5" fillId="3" borderId="0" xfId="1" applyFont="1" applyFill="1" applyAlignment="1">
      <alignment horizontal="center" vertical="center"/>
    </xf>
    <xf numFmtId="0" fontId="6" fillId="4" borderId="3" xfId="1" applyNumberFormat="1" applyFont="1" applyFill="1" applyBorder="1" applyAlignment="1">
      <alignment horizontal="center" vertical="center" wrapText="1"/>
    </xf>
    <xf numFmtId="0" fontId="8" fillId="5" borderId="4" xfId="1" applyNumberFormat="1" applyFont="1" applyFill="1" applyBorder="1" applyAlignment="1">
      <alignment horizontal="center" vertical="center" wrapText="1"/>
    </xf>
    <xf numFmtId="1" fontId="8" fillId="6" borderId="4" xfId="7" applyNumberFormat="1" applyFont="1" applyFill="1" applyBorder="1" applyAlignment="1" applyProtection="1">
      <alignment horizontal="center" vertical="center" wrapText="1"/>
      <protection locked="0"/>
    </xf>
    <xf numFmtId="9" fontId="6" fillId="4" borderId="8" xfId="6" applyNumberFormat="1" applyFont="1" applyFill="1" applyBorder="1" applyAlignment="1" applyProtection="1">
      <alignment horizontal="center" vertical="top" wrapText="1"/>
    </xf>
    <xf numFmtId="165" fontId="6" fillId="4" borderId="8" xfId="6" applyNumberFormat="1" applyFont="1" applyFill="1" applyBorder="1" applyAlignment="1" applyProtection="1">
      <alignment horizontal="center" vertical="center" wrapText="1"/>
    </xf>
    <xf numFmtId="165" fontId="8" fillId="5" borderId="6" xfId="1" applyNumberFormat="1" applyFont="1" applyFill="1" applyBorder="1" applyAlignment="1">
      <alignment horizontal="center" vertical="center" wrapText="1"/>
    </xf>
    <xf numFmtId="165" fontId="17" fillId="4" borderId="3" xfId="1" applyNumberFormat="1" applyFont="1" applyFill="1" applyBorder="1" applyAlignment="1">
      <alignment horizontal="center" vertical="center" wrapText="1"/>
    </xf>
    <xf numFmtId="9" fontId="8" fillId="5" borderId="6" xfId="7" applyFont="1" applyFill="1" applyBorder="1" applyAlignment="1">
      <alignment horizontal="center" vertical="center" wrapText="1"/>
    </xf>
    <xf numFmtId="164" fontId="4" fillId="2" borderId="0" xfId="1" applyFont="1" applyFill="1" applyAlignment="1">
      <alignment horizontal="center" vertical="center" wrapText="1"/>
    </xf>
    <xf numFmtId="0" fontId="6" fillId="4" borderId="3" xfId="1" applyNumberFormat="1" applyFont="1" applyFill="1" applyBorder="1" applyAlignment="1">
      <alignment horizontal="left" vertical="center" wrapText="1"/>
    </xf>
    <xf numFmtId="164" fontId="4" fillId="2" borderId="0" xfId="1" applyFont="1" applyFill="1" applyAlignment="1">
      <alignment horizontal="center" vertical="center" wrapText="1"/>
    </xf>
    <xf numFmtId="0" fontId="6" fillId="4" borderId="3" xfId="1" applyNumberFormat="1" applyFont="1" applyFill="1" applyBorder="1" applyAlignment="1">
      <alignment horizontal="left" vertical="center" wrapText="1"/>
    </xf>
    <xf numFmtId="164" fontId="4" fillId="2" borderId="0" xfId="1" applyFont="1" applyFill="1" applyAlignment="1">
      <alignment horizontal="center" vertical="center" wrapText="1"/>
    </xf>
    <xf numFmtId="0" fontId="8" fillId="5" borderId="5" xfId="1" applyNumberFormat="1" applyFont="1" applyFill="1" applyBorder="1" applyAlignment="1">
      <alignment horizontal="left" vertical="center" wrapText="1"/>
    </xf>
    <xf numFmtId="0" fontId="17" fillId="0" borderId="0" xfId="0" applyFont="1" applyAlignment="1">
      <alignment horizontal="right"/>
    </xf>
    <xf numFmtId="0" fontId="22" fillId="0" borderId="0" xfId="0" applyFont="1" applyAlignment="1">
      <alignment horizontal="right"/>
    </xf>
    <xf numFmtId="0" fontId="6" fillId="4" borderId="3" xfId="1" applyNumberFormat="1" applyFont="1" applyFill="1" applyBorder="1" applyAlignment="1">
      <alignment horizontal="left" vertical="center" wrapText="1"/>
    </xf>
    <xf numFmtId="0" fontId="17" fillId="4" borderId="3" xfId="1" applyNumberFormat="1" applyFont="1" applyFill="1" applyBorder="1" applyAlignment="1">
      <alignment horizontal="left" vertical="center" wrapText="1"/>
    </xf>
    <xf numFmtId="164" fontId="4" fillId="2" borderId="0" xfId="1" applyFont="1" applyFill="1" applyAlignment="1">
      <alignment horizontal="center" vertical="center" wrapText="1"/>
    </xf>
    <xf numFmtId="164" fontId="4" fillId="2" borderId="0" xfId="1" applyFont="1" applyFill="1" applyAlignment="1">
      <alignment horizontal="center" vertical="center" wrapText="1"/>
    </xf>
    <xf numFmtId="0" fontId="6" fillId="4" borderId="2" xfId="1" applyNumberFormat="1" applyFont="1" applyFill="1" applyBorder="1" applyAlignment="1">
      <alignment horizontal="left" vertical="center" wrapText="1"/>
    </xf>
    <xf numFmtId="0" fontId="6" fillId="4" borderId="3" xfId="1" applyNumberFormat="1" applyFont="1" applyFill="1" applyBorder="1" applyAlignment="1">
      <alignment horizontal="left" vertical="center" wrapText="1"/>
    </xf>
    <xf numFmtId="0" fontId="17" fillId="4" borderId="2" xfId="1" applyNumberFormat="1" applyFont="1" applyFill="1" applyBorder="1" applyAlignment="1">
      <alignment horizontal="left" vertical="center" wrapText="1"/>
    </xf>
    <xf numFmtId="0" fontId="17" fillId="4" borderId="3" xfId="1" applyNumberFormat="1" applyFont="1" applyFill="1" applyBorder="1" applyAlignment="1">
      <alignment horizontal="left" vertical="center" wrapText="1"/>
    </xf>
  </cellXfs>
  <cellStyles count="15">
    <cellStyle name="Cancel" xfId="1" xr:uid="{00000000-0005-0000-0000-000000000000}"/>
    <cellStyle name="Comma" xfId="6" builtinId="3"/>
    <cellStyle name="Comma 2" xfId="4" xr:uid="{00000000-0005-0000-0000-000001000000}"/>
    <cellStyle name="Comma 3" xfId="3" xr:uid="{00000000-0005-0000-0000-000002000000}"/>
    <cellStyle name="Comma 3 2" xfId="9" xr:uid="{00000000-0005-0000-0000-000003000000}"/>
    <cellStyle name="Comma 3 2 2" xfId="13" xr:uid="{00000000-0005-0000-0000-000004000000}"/>
    <cellStyle name="Comma 3 3" xfId="11" xr:uid="{00000000-0005-0000-0000-000005000000}"/>
    <cellStyle name="Comma 4" xfId="10" xr:uid="{00000000-0005-0000-0000-000006000000}"/>
    <cellStyle name="Comma 4 2" xfId="14" xr:uid="{00000000-0005-0000-0000-000007000000}"/>
    <cellStyle name="Comma 5" xfId="12" xr:uid="{00000000-0005-0000-0000-000008000000}"/>
    <cellStyle name="Normal" xfId="0" builtinId="0"/>
    <cellStyle name="Normal 2" xfId="2" xr:uid="{00000000-0005-0000-0000-00000A000000}"/>
    <cellStyle name="Normal_Pilares Macro G1" xfId="8" xr:uid="{00000000-0005-0000-0000-00000B000000}"/>
    <cellStyle name="Normal_Pilares Macro G1 2" xfId="5" xr:uid="{00000000-0005-0000-0000-00000C000000}"/>
    <cellStyle name="Percent" xfId="7"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2</xdr:row>
      <xdr:rowOff>71441</xdr:rowOff>
    </xdr:from>
    <xdr:to>
      <xdr:col>2</xdr:col>
      <xdr:colOff>1100440</xdr:colOff>
      <xdr:row>5</xdr:row>
      <xdr:rowOff>63754</xdr:rowOff>
    </xdr:to>
    <xdr:pic>
      <xdr:nvPicPr>
        <xdr:cNvPr id="2" name="Picture 1" descr="Resultado de imagem para cervejaria ambev">
          <a:extLst>
            <a:ext uri="{FF2B5EF4-FFF2-40B4-BE49-F238E27FC236}">
              <a16:creationId xmlns:a16="http://schemas.microsoft.com/office/drawing/2014/main" id="{977523D8-11DD-4263-BE1C-A4CCF1AE5405}"/>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5553" b="34248"/>
        <a:stretch/>
      </xdr:blipFill>
      <xdr:spPr bwMode="auto">
        <a:xfrm>
          <a:off x="100542" y="251358"/>
          <a:ext cx="1444398" cy="5320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857252</xdr:colOff>
      <xdr:row>2</xdr:row>
      <xdr:rowOff>52918</xdr:rowOff>
    </xdr:from>
    <xdr:to>
      <xdr:col>9</xdr:col>
      <xdr:colOff>4764</xdr:colOff>
      <xdr:row>5</xdr:row>
      <xdr:rowOff>26181</xdr:rowOff>
    </xdr:to>
    <xdr:pic>
      <xdr:nvPicPr>
        <xdr:cNvPr id="3" name="Picture 2">
          <a:extLst>
            <a:ext uri="{FF2B5EF4-FFF2-40B4-BE49-F238E27FC236}">
              <a16:creationId xmlns:a16="http://schemas.microsoft.com/office/drawing/2014/main" id="{A819784C-F46E-4E7A-B146-761371B492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250585" y="952501"/>
          <a:ext cx="1486429" cy="5130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480786</xdr:colOff>
      <xdr:row>25</xdr:row>
      <xdr:rowOff>0</xdr:rowOff>
    </xdr:from>
    <xdr:to>
      <xdr:col>2</xdr:col>
      <xdr:colOff>1115786</xdr:colOff>
      <xdr:row>25</xdr:row>
      <xdr:rowOff>81643</xdr:rowOff>
    </xdr:to>
    <xdr:sp macro="" textlink="">
      <xdr:nvSpPr>
        <xdr:cNvPr id="2" name="ColorPalette" hidden="1">
          <a:extLst>
            <a:ext uri="{FF2B5EF4-FFF2-40B4-BE49-F238E27FC236}">
              <a16:creationId xmlns:a16="http://schemas.microsoft.com/office/drawing/2014/main" id="{1F76A9C9-86BE-4FB4-B01E-E93387239567}"/>
            </a:ext>
          </a:extLst>
        </xdr:cNvPr>
        <xdr:cNvSpPr txBox="1"/>
      </xdr:nvSpPr>
      <xdr:spPr>
        <a:xfrm>
          <a:off x="907506" y="16543020"/>
          <a:ext cx="635000" cy="816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vert="horz" rtlCol="0" anchor="t"/>
        <a:lstStyle/>
        <a:p>
          <a:r>
            <a:rPr lang="en-US" sz="1100"/>
            <a:t>&lt;root/&gt;</a:t>
          </a:r>
        </a:p>
        <a:p>
          <a:endParaRPr lang="en-US" sz="1100"/>
        </a:p>
      </xdr:txBody>
    </xdr:sp>
    <xdr:clientData/>
  </xdr:twoCellAnchor>
  <xdr:twoCellAnchor>
    <xdr:from>
      <xdr:col>2</xdr:col>
      <xdr:colOff>480786</xdr:colOff>
      <xdr:row>25</xdr:row>
      <xdr:rowOff>0</xdr:rowOff>
    </xdr:from>
    <xdr:to>
      <xdr:col>2</xdr:col>
      <xdr:colOff>1115786</xdr:colOff>
      <xdr:row>25</xdr:row>
      <xdr:rowOff>81643</xdr:rowOff>
    </xdr:to>
    <xdr:sp macro="" textlink="">
      <xdr:nvSpPr>
        <xdr:cNvPr id="3" name="ColorPalette" hidden="1">
          <a:extLst>
            <a:ext uri="{FF2B5EF4-FFF2-40B4-BE49-F238E27FC236}">
              <a16:creationId xmlns:a16="http://schemas.microsoft.com/office/drawing/2014/main" id="{2EBC8656-B4B0-493A-9444-C7C01CCDEDC0}"/>
            </a:ext>
          </a:extLst>
        </xdr:cNvPr>
        <xdr:cNvSpPr txBox="1"/>
      </xdr:nvSpPr>
      <xdr:spPr>
        <a:xfrm>
          <a:off x="907506" y="16543020"/>
          <a:ext cx="635000" cy="816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vert="horz" rtlCol="0" anchor="t"/>
        <a:lstStyle/>
        <a:p>
          <a:r>
            <a:rPr lang="en-US" sz="1100"/>
            <a:t>&lt;root/&gt;</a:t>
          </a:r>
        </a:p>
        <a:p>
          <a:endParaRPr lang="en-US" sz="1100"/>
        </a:p>
      </xdr:txBody>
    </xdr:sp>
    <xdr:clientData/>
  </xdr:twoCellAnchor>
  <xdr:twoCellAnchor>
    <xdr:from>
      <xdr:col>2</xdr:col>
      <xdr:colOff>480786</xdr:colOff>
      <xdr:row>25</xdr:row>
      <xdr:rowOff>0</xdr:rowOff>
    </xdr:from>
    <xdr:to>
      <xdr:col>2</xdr:col>
      <xdr:colOff>1115786</xdr:colOff>
      <xdr:row>25</xdr:row>
      <xdr:rowOff>81643</xdr:rowOff>
    </xdr:to>
    <xdr:sp macro="" textlink="">
      <xdr:nvSpPr>
        <xdr:cNvPr id="4" name="ColorPalette" hidden="1">
          <a:extLst>
            <a:ext uri="{FF2B5EF4-FFF2-40B4-BE49-F238E27FC236}">
              <a16:creationId xmlns:a16="http://schemas.microsoft.com/office/drawing/2014/main" id="{B187980A-5013-4AC5-BE4E-8CC3E2B5D0DA}"/>
            </a:ext>
          </a:extLst>
        </xdr:cNvPr>
        <xdr:cNvSpPr txBox="1"/>
      </xdr:nvSpPr>
      <xdr:spPr>
        <a:xfrm>
          <a:off x="907506" y="16543020"/>
          <a:ext cx="635000" cy="816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vert="horz" rtlCol="0" anchor="t"/>
        <a:lstStyle/>
        <a:p>
          <a:r>
            <a:rPr lang="en-US" sz="1100"/>
            <a:t>&lt;root/&gt;</a:t>
          </a:r>
        </a:p>
        <a:p>
          <a:endParaRPr lang="en-US" sz="1100"/>
        </a:p>
      </xdr:txBody>
    </xdr:sp>
    <xdr:clientData/>
  </xdr:twoCellAnchor>
  <xdr:twoCellAnchor>
    <xdr:from>
      <xdr:col>2</xdr:col>
      <xdr:colOff>480786</xdr:colOff>
      <xdr:row>25</xdr:row>
      <xdr:rowOff>0</xdr:rowOff>
    </xdr:from>
    <xdr:to>
      <xdr:col>2</xdr:col>
      <xdr:colOff>1115786</xdr:colOff>
      <xdr:row>25</xdr:row>
      <xdr:rowOff>81643</xdr:rowOff>
    </xdr:to>
    <xdr:sp macro="" textlink="">
      <xdr:nvSpPr>
        <xdr:cNvPr id="5" name="ColorPalette" hidden="1">
          <a:extLst>
            <a:ext uri="{FF2B5EF4-FFF2-40B4-BE49-F238E27FC236}">
              <a16:creationId xmlns:a16="http://schemas.microsoft.com/office/drawing/2014/main" id="{5A4F1AD7-A26F-462E-B19E-8B264B5815C4}"/>
            </a:ext>
          </a:extLst>
        </xdr:cNvPr>
        <xdr:cNvSpPr txBox="1"/>
      </xdr:nvSpPr>
      <xdr:spPr>
        <a:xfrm>
          <a:off x="907506" y="16543020"/>
          <a:ext cx="635000" cy="816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vert="horz" rtlCol="0" anchor="t"/>
        <a:lstStyle/>
        <a:p>
          <a:r>
            <a:rPr lang="en-US" sz="1100"/>
            <a:t>&lt;root/&gt;</a:t>
          </a:r>
        </a:p>
        <a:p>
          <a:endParaRPr lang="en-US" sz="1100"/>
        </a:p>
      </xdr:txBody>
    </xdr:sp>
    <xdr:clientData/>
  </xdr:twoCellAnchor>
  <xdr:twoCellAnchor editAs="oneCell">
    <xdr:from>
      <xdr:col>1</xdr:col>
      <xdr:colOff>39688</xdr:colOff>
      <xdr:row>2</xdr:row>
      <xdr:rowOff>66146</xdr:rowOff>
    </xdr:from>
    <xdr:to>
      <xdr:col>2</xdr:col>
      <xdr:colOff>1092503</xdr:colOff>
      <xdr:row>5</xdr:row>
      <xdr:rowOff>58459</xdr:rowOff>
    </xdr:to>
    <xdr:pic>
      <xdr:nvPicPr>
        <xdr:cNvPr id="6" name="Picture 5" descr="Resultado de imagem para cervejaria ambev">
          <a:extLst>
            <a:ext uri="{FF2B5EF4-FFF2-40B4-BE49-F238E27FC236}">
              <a16:creationId xmlns:a16="http://schemas.microsoft.com/office/drawing/2014/main" id="{043FB4DB-055D-47CE-BC13-EF4F0A971C1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5553" b="34248"/>
        <a:stretch/>
      </xdr:blipFill>
      <xdr:spPr bwMode="auto">
        <a:xfrm>
          <a:off x="85408" y="249026"/>
          <a:ext cx="1433814" cy="5409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857251</xdr:colOff>
      <xdr:row>2</xdr:row>
      <xdr:rowOff>55563</xdr:rowOff>
    </xdr:from>
    <xdr:to>
      <xdr:col>9</xdr:col>
      <xdr:colOff>3402</xdr:colOff>
      <xdr:row>5</xdr:row>
      <xdr:rowOff>47876</xdr:rowOff>
    </xdr:to>
    <xdr:pic>
      <xdr:nvPicPr>
        <xdr:cNvPr id="7" name="Picture 6">
          <a:extLst>
            <a:ext uri="{FF2B5EF4-FFF2-40B4-BE49-F238E27FC236}">
              <a16:creationId xmlns:a16="http://schemas.microsoft.com/office/drawing/2014/main" id="{2B352860-480E-40BB-BE7E-BDA0C5F1F05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240001" y="955146"/>
          <a:ext cx="1485068" cy="53206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0</xdr:colOff>
      <xdr:row>2</xdr:row>
      <xdr:rowOff>103190</xdr:rowOff>
    </xdr:from>
    <xdr:ext cx="1444398" cy="532063"/>
    <xdr:pic>
      <xdr:nvPicPr>
        <xdr:cNvPr id="2" name="Picture 1" descr="Resultado de imagem para cervejaria ambev">
          <a:extLst>
            <a:ext uri="{FF2B5EF4-FFF2-40B4-BE49-F238E27FC236}">
              <a16:creationId xmlns:a16="http://schemas.microsoft.com/office/drawing/2014/main" id="{8D1E6C50-CB7F-4F9C-BE42-34A312C3356F}"/>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5553" b="34248"/>
        <a:stretch/>
      </xdr:blipFill>
      <xdr:spPr bwMode="auto">
        <a:xfrm>
          <a:off x="228600" y="287340"/>
          <a:ext cx="1444398" cy="53206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635002</xdr:colOff>
      <xdr:row>2</xdr:row>
      <xdr:rowOff>39690</xdr:rowOff>
    </xdr:from>
    <xdr:ext cx="1479020" cy="532063"/>
    <xdr:pic>
      <xdr:nvPicPr>
        <xdr:cNvPr id="3" name="Picture 2">
          <a:extLst>
            <a:ext uri="{FF2B5EF4-FFF2-40B4-BE49-F238E27FC236}">
              <a16:creationId xmlns:a16="http://schemas.microsoft.com/office/drawing/2014/main" id="{EFAC2127-6FC7-46F4-A9E5-6F8E7C1DAE5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954252" y="939273"/>
          <a:ext cx="1479020" cy="532063"/>
        </a:xfrm>
        <a:prstGeom prst="rect">
          <a:avLst/>
        </a:prstGeom>
      </xdr:spPr>
    </xdr:pic>
    <xdr:clientData/>
  </xdr:oneCellAnchor>
  <xdr:oneCellAnchor>
    <xdr:from>
      <xdr:col>1</xdr:col>
      <xdr:colOff>52915</xdr:colOff>
      <xdr:row>2</xdr:row>
      <xdr:rowOff>71441</xdr:rowOff>
    </xdr:from>
    <xdr:ext cx="1444398" cy="532063"/>
    <xdr:pic>
      <xdr:nvPicPr>
        <xdr:cNvPr id="4" name="Picture 3" descr="Resultado de imagem para cervejaria ambev">
          <a:extLst>
            <a:ext uri="{FF2B5EF4-FFF2-40B4-BE49-F238E27FC236}">
              <a16:creationId xmlns:a16="http://schemas.microsoft.com/office/drawing/2014/main" id="{F2FE8FBB-2A35-470F-B5BB-1592996B9814}"/>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5553" b="34248"/>
        <a:stretch/>
      </xdr:blipFill>
      <xdr:spPr bwMode="auto">
        <a:xfrm>
          <a:off x="105832" y="251358"/>
          <a:ext cx="1444398" cy="53206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58209</xdr:colOff>
      <xdr:row>2</xdr:row>
      <xdr:rowOff>63500</xdr:rowOff>
    </xdr:from>
    <xdr:to>
      <xdr:col>2</xdr:col>
      <xdr:colOff>1108378</xdr:colOff>
      <xdr:row>5</xdr:row>
      <xdr:rowOff>55813</xdr:rowOff>
    </xdr:to>
    <xdr:pic>
      <xdr:nvPicPr>
        <xdr:cNvPr id="3" name="Picture 2" descr="Resultado de imagem para cervejaria ambev">
          <a:extLst>
            <a:ext uri="{FF2B5EF4-FFF2-40B4-BE49-F238E27FC236}">
              <a16:creationId xmlns:a16="http://schemas.microsoft.com/office/drawing/2014/main" id="{9A7584ED-4084-4059-935A-C9369C187807}"/>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5553" b="34248"/>
        <a:stretch/>
      </xdr:blipFill>
      <xdr:spPr bwMode="auto">
        <a:xfrm>
          <a:off x="111126" y="243417"/>
          <a:ext cx="1441752" cy="5320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656166</xdr:colOff>
      <xdr:row>2</xdr:row>
      <xdr:rowOff>42334</xdr:rowOff>
    </xdr:from>
    <xdr:to>
      <xdr:col>9</xdr:col>
      <xdr:colOff>242</xdr:colOff>
      <xdr:row>5</xdr:row>
      <xdr:rowOff>34647</xdr:rowOff>
    </xdr:to>
    <xdr:pic>
      <xdr:nvPicPr>
        <xdr:cNvPr id="5" name="Picture 4">
          <a:extLst>
            <a:ext uri="{FF2B5EF4-FFF2-40B4-BE49-F238E27FC236}">
              <a16:creationId xmlns:a16="http://schemas.microsoft.com/office/drawing/2014/main" id="{5240F0C5-2F51-46C8-9E4A-83B7D7D8F77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975416" y="941917"/>
          <a:ext cx="1460499" cy="5320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2"/>
  <sheetViews>
    <sheetView showGridLines="0" showRowColHeaders="0" zoomScale="60" zoomScaleNormal="60" workbookViewId="0">
      <selection activeCell="B8" sqref="B8"/>
    </sheetView>
  </sheetViews>
  <sheetFormatPr defaultColWidth="0" defaultRowHeight="14.5" zeroHeight="1" outlineLevelRow="1"/>
  <cols>
    <col min="1" max="1" width="1.54296875" style="78" customWidth="1"/>
    <col min="2" max="2" width="5.54296875" style="22" customWidth="1"/>
    <col min="3" max="3" width="20.54296875" style="22" customWidth="1"/>
    <col min="4" max="4" width="75.54296875" style="22" customWidth="1"/>
    <col min="5" max="5" width="75.81640625" style="22" customWidth="1"/>
    <col min="6" max="6" width="26.81640625" style="66" customWidth="1"/>
    <col min="7" max="7" width="12.81640625" style="67" bestFit="1" customWidth="1"/>
    <col min="8" max="8" width="11.81640625" style="67" customWidth="1"/>
    <col min="9" max="9" width="8.81640625" customWidth="1"/>
    <col min="10" max="10" width="1.54296875" customWidth="1"/>
    <col min="11" max="11" width="7.81640625" bestFit="1" customWidth="1"/>
    <col min="12" max="13" width="8.81640625" customWidth="1"/>
    <col min="14" max="14" width="1.453125" bestFit="1" customWidth="1"/>
    <col min="15" max="16384" width="8.81640625" style="22" hidden="1"/>
  </cols>
  <sheetData>
    <row r="1" spans="1:14"/>
    <row r="2" spans="1:14">
      <c r="B2" s="7"/>
      <c r="C2" s="8"/>
      <c r="D2" s="9"/>
      <c r="E2" s="10"/>
      <c r="N2" t="s">
        <v>60</v>
      </c>
    </row>
    <row r="3" spans="1:14">
      <c r="A3" s="78">
        <v>3</v>
      </c>
      <c r="B3" s="13"/>
      <c r="C3" s="11"/>
      <c r="D3" s="14"/>
      <c r="E3" s="12"/>
      <c r="F3" s="24"/>
      <c r="G3" s="70"/>
      <c r="H3" s="69"/>
      <c r="I3" s="69"/>
      <c r="K3" s="69"/>
      <c r="L3" s="69"/>
      <c r="M3" s="69"/>
    </row>
    <row r="4" spans="1:14">
      <c r="A4" s="78">
        <v>0</v>
      </c>
      <c r="B4" s="13"/>
      <c r="C4" s="11"/>
      <c r="D4" s="15"/>
      <c r="E4" s="12"/>
      <c r="F4" s="24"/>
      <c r="G4" s="70"/>
      <c r="H4" s="69"/>
      <c r="I4" s="69"/>
      <c r="K4" s="69"/>
      <c r="L4" s="69"/>
      <c r="M4" s="69"/>
    </row>
    <row r="5" spans="1:14">
      <c r="A5" s="101" t="s">
        <v>59</v>
      </c>
      <c r="B5" s="13"/>
      <c r="C5" s="11"/>
      <c r="D5" s="16"/>
      <c r="E5" s="12"/>
      <c r="F5" s="24"/>
      <c r="G5" s="70"/>
      <c r="H5" s="69"/>
      <c r="I5" s="69"/>
      <c r="K5" s="69"/>
      <c r="L5" s="69"/>
      <c r="M5" s="69"/>
    </row>
    <row r="6" spans="1:14">
      <c r="B6" s="11"/>
      <c r="C6" s="11"/>
      <c r="D6" s="17"/>
      <c r="E6" s="12"/>
      <c r="F6" s="24"/>
      <c r="G6" s="70"/>
      <c r="H6" s="69"/>
      <c r="I6" s="69"/>
      <c r="K6" s="105" t="s">
        <v>55</v>
      </c>
      <c r="L6" s="105"/>
      <c r="M6" s="105"/>
    </row>
    <row r="7" spans="1:14" ht="26.15" customHeight="1">
      <c r="B7" s="6" t="s">
        <v>0</v>
      </c>
      <c r="C7" s="6" t="s">
        <v>1</v>
      </c>
      <c r="D7" s="6" t="s">
        <v>2</v>
      </c>
      <c r="E7" s="6" t="s">
        <v>3</v>
      </c>
      <c r="F7" s="96" t="s">
        <v>128</v>
      </c>
      <c r="G7" s="6" t="s">
        <v>52</v>
      </c>
      <c r="H7" s="96" t="s">
        <v>53</v>
      </c>
      <c r="I7" s="43" t="s">
        <v>54</v>
      </c>
      <c r="K7" s="98" t="s">
        <v>56</v>
      </c>
      <c r="L7" s="98" t="s">
        <v>57</v>
      </c>
      <c r="M7" s="98" t="s">
        <v>58</v>
      </c>
    </row>
    <row r="8" spans="1:14">
      <c r="A8" s="45">
        <v>3</v>
      </c>
      <c r="B8" s="18" t="s">
        <v>10</v>
      </c>
      <c r="C8" s="18"/>
      <c r="D8" s="18"/>
      <c r="E8" s="18"/>
      <c r="F8" s="18"/>
      <c r="G8" s="85"/>
      <c r="H8" s="52">
        <f>SUM(H9,H12,H15,H19,H21,H24,H27)</f>
        <v>1</v>
      </c>
      <c r="I8" s="51">
        <f>SUM(I9,I12,I15,I19,I21,I24,I27)</f>
        <v>40</v>
      </c>
      <c r="J8" s="31"/>
      <c r="K8" s="52">
        <f>SUM(M9,M12,M15,M19,M21,M24,M27)/((I8-IF(K9="N/A",I9,0)-IF(K12="N/A",I12,0)-IF(K15="N/A",I15,0)-IF(K19="N/A",I19,0)-IF(K21="N/A",I21,0)-IF(K24="N/A",I24,0)-IF(K27="N/A",I27,0)))</f>
        <v>1</v>
      </c>
      <c r="L8" s="52">
        <f>K8</f>
        <v>1</v>
      </c>
      <c r="M8" s="59">
        <f>K8*I8</f>
        <v>40</v>
      </c>
      <c r="N8" s="31"/>
    </row>
    <row r="9" spans="1:14" s="31" customFormat="1" ht="13">
      <c r="A9" s="46">
        <v>1</v>
      </c>
      <c r="B9" s="25">
        <v>1</v>
      </c>
      <c r="C9" s="106" t="s">
        <v>11</v>
      </c>
      <c r="D9" s="107"/>
      <c r="E9" s="107"/>
      <c r="F9" s="28"/>
      <c r="G9" s="86"/>
      <c r="H9" s="55">
        <f t="shared" ref="H9:H30" si="0">I9/$I$8</f>
        <v>0.13750000000000001</v>
      </c>
      <c r="I9" s="50">
        <f>SUM(I10:I11)</f>
        <v>5.5</v>
      </c>
      <c r="K9" s="89">
        <f>IF(COUNTIF(K10:K11,"=N/A")=2,"N/A",IF(SUM(K10:K11)=0,0,(N(K10)*$H10)+(N(K11)*$H11))/(IF(K10="N/A",0,(3*$H10))+IF(K11="N/A",0,(3*$H11))))</f>
        <v>1</v>
      </c>
      <c r="L9" s="89">
        <f>K9</f>
        <v>1</v>
      </c>
      <c r="M9" s="90">
        <f>IF(K9="N/A","N/A",K9*$I$8*H9)</f>
        <v>5.5</v>
      </c>
    </row>
    <row r="10" spans="1:14" s="38" customFormat="1" ht="93.75" customHeight="1" outlineLevel="1">
      <c r="A10" s="46">
        <v>0</v>
      </c>
      <c r="B10" s="4">
        <v>1.1000000000000001</v>
      </c>
      <c r="C10" s="41" t="s">
        <v>12</v>
      </c>
      <c r="D10" s="35" t="s">
        <v>257</v>
      </c>
      <c r="E10" s="36" t="s">
        <v>312</v>
      </c>
      <c r="F10" s="36" t="s">
        <v>162</v>
      </c>
      <c r="G10" s="49" t="s">
        <v>63</v>
      </c>
      <c r="H10" s="93">
        <f t="shared" si="0"/>
        <v>7.4999999999999997E-2</v>
      </c>
      <c r="I10" s="91">
        <v>3</v>
      </c>
      <c r="K10" s="87">
        <f>IF(OR(L10=""),"",IF(AND(L10="N/A"),"N/A",AVERAGE(L10:L10)))</f>
        <v>3</v>
      </c>
      <c r="L10" s="88">
        <v>3</v>
      </c>
      <c r="M10" s="87">
        <f>IF(K10="N/A","N/A",K10/3*I10)</f>
        <v>3</v>
      </c>
    </row>
    <row r="11" spans="1:14" s="38" customFormat="1" ht="75" customHeight="1" outlineLevel="1">
      <c r="A11" s="45" t="s">
        <v>59</v>
      </c>
      <c r="B11" s="4">
        <v>1.2</v>
      </c>
      <c r="C11" s="41" t="s">
        <v>13</v>
      </c>
      <c r="D11" s="35" t="s">
        <v>241</v>
      </c>
      <c r="E11" s="36" t="s">
        <v>316</v>
      </c>
      <c r="F11" s="36" t="s">
        <v>163</v>
      </c>
      <c r="G11" s="49" t="s">
        <v>63</v>
      </c>
      <c r="H11" s="93">
        <f t="shared" si="0"/>
        <v>6.25E-2</v>
      </c>
      <c r="I11" s="91">
        <v>2.5</v>
      </c>
      <c r="K11" s="49">
        <f>IF(OR(L11=""),"",IF(AND(L11="N/A"),"N/A",AVERAGE(L11:L11)))</f>
        <v>3</v>
      </c>
      <c r="L11" s="44">
        <v>3</v>
      </c>
      <c r="M11" s="49">
        <f>IF(K11="N/A","N/A",K11/3*I11)</f>
        <v>2.5</v>
      </c>
    </row>
    <row r="12" spans="1:14">
      <c r="B12" s="3">
        <v>2</v>
      </c>
      <c r="C12" s="19" t="s">
        <v>14</v>
      </c>
      <c r="D12" s="20"/>
      <c r="E12" s="21"/>
      <c r="F12" s="40"/>
      <c r="G12" s="50"/>
      <c r="H12" s="53">
        <f t="shared" si="0"/>
        <v>0.125</v>
      </c>
      <c r="I12" s="50">
        <f>SUM(I13:I14)</f>
        <v>5</v>
      </c>
      <c r="J12" s="31"/>
      <c r="K12" s="89">
        <f>IF(COUNTIF(K13:K14,"=N/A")=2,"N/A",IF(SUM(K13:K14)=0,0,(N(K13)*$H13)+(N(K14)*$H14))/(IF(K13="N/A",0,(3*$H13))+IF(K14="N/A",0,(3*$H14))))</f>
        <v>1</v>
      </c>
      <c r="L12" s="89">
        <f>K12</f>
        <v>1</v>
      </c>
      <c r="M12" s="90">
        <f>IF(K12="N/A","N/A",K12*$I$8*H12)</f>
        <v>5</v>
      </c>
      <c r="N12" s="31"/>
    </row>
    <row r="13" spans="1:14" s="38" customFormat="1" ht="101.5" customHeight="1" outlineLevel="1">
      <c r="A13" s="46"/>
      <c r="B13" s="4">
        <v>2.1</v>
      </c>
      <c r="C13" s="41" t="s">
        <v>15</v>
      </c>
      <c r="D13" s="35" t="s">
        <v>315</v>
      </c>
      <c r="E13" s="36" t="s">
        <v>336</v>
      </c>
      <c r="F13" s="5" t="s">
        <v>156</v>
      </c>
      <c r="G13" s="49" t="s">
        <v>62</v>
      </c>
      <c r="H13" s="93">
        <f t="shared" si="0"/>
        <v>7.4999999999999997E-2</v>
      </c>
      <c r="I13" s="91">
        <v>3</v>
      </c>
      <c r="K13" s="87">
        <f t="shared" ref="K13:K30" si="1">IF(OR(L13=""),"",IF(AND(L13="N/A"),"N/A",AVERAGE(L13:L13)))</f>
        <v>3</v>
      </c>
      <c r="L13" s="88">
        <v>3</v>
      </c>
      <c r="M13" s="87">
        <f>IF(K13="N/A","N/A",K13/3*I13)</f>
        <v>3</v>
      </c>
    </row>
    <row r="14" spans="1:14" s="38" customFormat="1" ht="96" customHeight="1" outlineLevel="1">
      <c r="A14" s="46"/>
      <c r="B14" s="4">
        <v>2.2000000000000002</v>
      </c>
      <c r="C14" s="41" t="s">
        <v>16</v>
      </c>
      <c r="D14" s="35" t="s">
        <v>314</v>
      </c>
      <c r="E14" s="36" t="s">
        <v>317</v>
      </c>
      <c r="F14" s="5" t="s">
        <v>157</v>
      </c>
      <c r="G14" s="49" t="s">
        <v>63</v>
      </c>
      <c r="H14" s="93">
        <f t="shared" si="0"/>
        <v>0.05</v>
      </c>
      <c r="I14" s="91">
        <v>2</v>
      </c>
      <c r="K14" s="49">
        <f t="shared" si="1"/>
        <v>3</v>
      </c>
      <c r="L14" s="88">
        <v>3</v>
      </c>
      <c r="M14" s="49">
        <f t="shared" ref="M14:M30" si="2">IF(K14="N/A","N/A",K14/3*I14)</f>
        <v>2</v>
      </c>
    </row>
    <row r="15" spans="1:14">
      <c r="B15" s="3">
        <v>3</v>
      </c>
      <c r="C15" s="19" t="s">
        <v>17</v>
      </c>
      <c r="D15" s="20"/>
      <c r="E15" s="20"/>
      <c r="F15" s="40"/>
      <c r="G15" s="50"/>
      <c r="H15" s="53">
        <f t="shared" si="0"/>
        <v>0.1875</v>
      </c>
      <c r="I15" s="50">
        <f>SUM(I16:I18)</f>
        <v>7.5</v>
      </c>
      <c r="J15" s="31"/>
      <c r="K15" s="53">
        <f>IF(COUNTIF(K16:K18,"=N/A")=4,"N/A",IF(SUM(K16:K18)=0,0,((N(K16)*$H16)+(N(K17)*$H17)+(N(K18)*$H18))/(IF(K16="N/A",0,(3*$H16))+IF(K17="N/A",0,(3*$H17))+IF(K18="N/A",0,(3*H18)))))</f>
        <v>1</v>
      </c>
      <c r="L15" s="53">
        <f>K15</f>
        <v>1</v>
      </c>
      <c r="M15" s="50">
        <f>IF(K15="N/A","N/A",K15*$I$8*H15)</f>
        <v>7.5</v>
      </c>
      <c r="N15" s="31"/>
    </row>
    <row r="16" spans="1:14" s="38" customFormat="1" ht="97.5" customHeight="1" outlineLevel="1">
      <c r="A16" s="46"/>
      <c r="B16" s="4">
        <v>3.1</v>
      </c>
      <c r="C16" s="41" t="s">
        <v>40</v>
      </c>
      <c r="D16" s="35" t="s">
        <v>242</v>
      </c>
      <c r="E16" s="36" t="s">
        <v>318</v>
      </c>
      <c r="F16" s="5" t="s">
        <v>158</v>
      </c>
      <c r="G16" s="49" t="s">
        <v>63</v>
      </c>
      <c r="H16" s="93">
        <f t="shared" si="0"/>
        <v>7.4999999999999997E-2</v>
      </c>
      <c r="I16" s="91">
        <v>3</v>
      </c>
      <c r="K16" s="49">
        <f t="shared" si="1"/>
        <v>3</v>
      </c>
      <c r="L16" s="44">
        <v>3</v>
      </c>
      <c r="M16" s="49">
        <f t="shared" si="2"/>
        <v>3</v>
      </c>
    </row>
    <row r="17" spans="1:14" s="38" customFormat="1" ht="98.15" customHeight="1" outlineLevel="1">
      <c r="A17" s="46"/>
      <c r="B17" s="4">
        <v>3.2</v>
      </c>
      <c r="C17" s="41" t="s">
        <v>18</v>
      </c>
      <c r="D17" s="35" t="s">
        <v>243</v>
      </c>
      <c r="E17" s="36" t="s">
        <v>337</v>
      </c>
      <c r="F17" s="5" t="s">
        <v>208</v>
      </c>
      <c r="G17" s="49" t="s">
        <v>63</v>
      </c>
      <c r="H17" s="93">
        <f t="shared" si="0"/>
        <v>7.4999999999999997E-2</v>
      </c>
      <c r="I17" s="91">
        <v>3</v>
      </c>
      <c r="K17" s="49">
        <f t="shared" si="1"/>
        <v>3</v>
      </c>
      <c r="L17" s="44">
        <v>3</v>
      </c>
      <c r="M17" s="49">
        <f t="shared" si="2"/>
        <v>3</v>
      </c>
    </row>
    <row r="18" spans="1:14" s="38" customFormat="1" ht="102.75" customHeight="1" outlineLevel="1">
      <c r="A18" s="46"/>
      <c r="B18" s="4">
        <v>3.3</v>
      </c>
      <c r="C18" s="41" t="s">
        <v>19</v>
      </c>
      <c r="D18" s="35" t="s">
        <v>244</v>
      </c>
      <c r="E18" s="36" t="s">
        <v>328</v>
      </c>
      <c r="F18" s="5" t="s">
        <v>164</v>
      </c>
      <c r="G18" s="49" t="s">
        <v>63</v>
      </c>
      <c r="H18" s="93">
        <f t="shared" si="0"/>
        <v>3.7499999999999999E-2</v>
      </c>
      <c r="I18" s="91">
        <v>1.5</v>
      </c>
      <c r="K18" s="49">
        <f t="shared" si="1"/>
        <v>3</v>
      </c>
      <c r="L18" s="44">
        <v>3</v>
      </c>
      <c r="M18" s="49">
        <f t="shared" si="2"/>
        <v>1.5</v>
      </c>
    </row>
    <row r="19" spans="1:14">
      <c r="B19" s="3">
        <v>4</v>
      </c>
      <c r="C19" s="19" t="s">
        <v>20</v>
      </c>
      <c r="D19" s="20"/>
      <c r="E19" s="20"/>
      <c r="F19" s="97"/>
      <c r="G19" s="86"/>
      <c r="H19" s="53">
        <f t="shared" si="0"/>
        <v>6.25E-2</v>
      </c>
      <c r="I19" s="50">
        <f>SUM(I20:I20)</f>
        <v>2.5</v>
      </c>
      <c r="J19" s="31"/>
      <c r="K19" s="89">
        <f>IF(COUNTIF(K20:K20,"=N/A")=2,"N/A",IF(SUM(K20:K20)=0,0,(N(K20)*$H20))/(IF(K20="N/A",0,(3*$H20))))</f>
        <v>1</v>
      </c>
      <c r="L19" s="89">
        <f>K19</f>
        <v>1</v>
      </c>
      <c r="M19" s="90">
        <f>IF(K19="N/A","N/A",K19*$I$8*H19)</f>
        <v>2.5</v>
      </c>
      <c r="N19" s="31"/>
    </row>
    <row r="20" spans="1:14" s="38" customFormat="1" ht="91.5" customHeight="1" outlineLevel="1">
      <c r="A20" s="46"/>
      <c r="B20" s="4">
        <v>4.0999999999999996</v>
      </c>
      <c r="C20" s="41" t="s">
        <v>319</v>
      </c>
      <c r="D20" s="35" t="s">
        <v>320</v>
      </c>
      <c r="E20" s="36" t="s">
        <v>321</v>
      </c>
      <c r="F20" s="5" t="s">
        <v>160</v>
      </c>
      <c r="G20" s="49" t="s">
        <v>63</v>
      </c>
      <c r="H20" s="93">
        <f t="shared" si="0"/>
        <v>6.25E-2</v>
      </c>
      <c r="I20" s="49">
        <v>2.5</v>
      </c>
      <c r="K20" s="87">
        <f t="shared" si="1"/>
        <v>3</v>
      </c>
      <c r="L20" s="88">
        <v>3</v>
      </c>
      <c r="M20" s="87">
        <f t="shared" ref="M20" si="3">IF(K20="N/A","N/A",K20/3*I20)</f>
        <v>2.5</v>
      </c>
    </row>
    <row r="21" spans="1:14">
      <c r="B21" s="3">
        <v>5</v>
      </c>
      <c r="C21" s="19" t="s">
        <v>21</v>
      </c>
      <c r="D21" s="20"/>
      <c r="E21" s="20"/>
      <c r="F21" s="97"/>
      <c r="G21" s="86"/>
      <c r="H21" s="53">
        <f t="shared" si="0"/>
        <v>8.7499999999999994E-2</v>
      </c>
      <c r="I21" s="50">
        <f>SUM(I22:I23)</f>
        <v>3.5</v>
      </c>
      <c r="J21" s="31"/>
      <c r="K21" s="89">
        <f>IF(COUNTIF(K22:K23,"=N/A")=2,"N/A",IF(SUM(K22:K23)=0,0,(N(K22)*$H22)+(N(K23)*$H23))/(IF(K22="N/A",0,(3*$H22))+IF(K23="N/A",0,(3*$H23))))</f>
        <v>1</v>
      </c>
      <c r="L21" s="89">
        <f>K21</f>
        <v>1</v>
      </c>
      <c r="M21" s="90">
        <f>IF(K21="N/A","N/A",K21*$I$8*H21)</f>
        <v>3.5</v>
      </c>
      <c r="N21" s="31"/>
    </row>
    <row r="22" spans="1:14" s="38" customFormat="1" ht="83.15" customHeight="1" outlineLevel="1">
      <c r="A22" s="46"/>
      <c r="B22" s="4">
        <v>5.0999999999999996</v>
      </c>
      <c r="C22" s="41" t="s">
        <v>22</v>
      </c>
      <c r="D22" s="35" t="s">
        <v>330</v>
      </c>
      <c r="E22" s="36" t="s">
        <v>329</v>
      </c>
      <c r="F22" s="5" t="s">
        <v>159</v>
      </c>
      <c r="G22" s="49" t="s">
        <v>63</v>
      </c>
      <c r="H22" s="93">
        <f t="shared" si="0"/>
        <v>0.05</v>
      </c>
      <c r="I22" s="91">
        <v>2</v>
      </c>
      <c r="K22" s="87">
        <f t="shared" si="1"/>
        <v>3</v>
      </c>
      <c r="L22" s="88">
        <v>3</v>
      </c>
      <c r="M22" s="87">
        <f t="shared" si="2"/>
        <v>2</v>
      </c>
    </row>
    <row r="23" spans="1:14" s="38" customFormat="1" ht="75.650000000000006" customHeight="1" outlineLevel="1">
      <c r="A23" s="46"/>
      <c r="B23" s="4">
        <v>5.2</v>
      </c>
      <c r="C23" s="41" t="s">
        <v>23</v>
      </c>
      <c r="D23" s="35" t="s">
        <v>245</v>
      </c>
      <c r="E23" s="36" t="s">
        <v>338</v>
      </c>
      <c r="F23" s="5" t="s">
        <v>139</v>
      </c>
      <c r="G23" s="49" t="s">
        <v>62</v>
      </c>
      <c r="H23" s="93">
        <f t="shared" si="0"/>
        <v>3.7499999999999999E-2</v>
      </c>
      <c r="I23" s="91">
        <v>1.5</v>
      </c>
      <c r="K23" s="49">
        <f t="shared" si="1"/>
        <v>3</v>
      </c>
      <c r="L23" s="44">
        <v>3</v>
      </c>
      <c r="M23" s="49">
        <f t="shared" si="2"/>
        <v>1.5</v>
      </c>
    </row>
    <row r="24" spans="1:14">
      <c r="B24" s="3">
        <v>6</v>
      </c>
      <c r="C24" s="19" t="s">
        <v>24</v>
      </c>
      <c r="D24" s="20"/>
      <c r="E24" s="20"/>
      <c r="F24" s="97"/>
      <c r="G24" s="86"/>
      <c r="H24" s="53">
        <f t="shared" si="0"/>
        <v>0.16250000000000001</v>
      </c>
      <c r="I24" s="50">
        <f>SUM(I25:I26)</f>
        <v>6.5</v>
      </c>
      <c r="J24" s="31"/>
      <c r="K24" s="89">
        <f>IF(COUNTIF(K25:K26,"=N/A")=2,"N/A",IF(SUM(K25:K26)=0,0,(N(K25)*$H25)+(N(K26)*$H26))/(IF(K25="N/A",0,(3*$H25))+IF(K26="N/A",0,(3*$H26))))</f>
        <v>1</v>
      </c>
      <c r="L24" s="89">
        <f>K24</f>
        <v>1</v>
      </c>
      <c r="M24" s="90">
        <f>IF(K24="N/A","N/A",K24*$I$8*H24)</f>
        <v>6.5</v>
      </c>
      <c r="N24" s="31"/>
    </row>
    <row r="25" spans="1:14" s="38" customFormat="1" ht="99" customHeight="1" outlineLevel="1">
      <c r="A25" s="46"/>
      <c r="B25" s="4">
        <v>6.1</v>
      </c>
      <c r="C25" s="41" t="s">
        <v>39</v>
      </c>
      <c r="D25" s="35" t="s">
        <v>322</v>
      </c>
      <c r="E25" s="36" t="s">
        <v>323</v>
      </c>
      <c r="F25" s="5" t="s">
        <v>139</v>
      </c>
      <c r="G25" s="49" t="s">
        <v>63</v>
      </c>
      <c r="H25" s="93">
        <f t="shared" si="0"/>
        <v>8.7499999999999994E-2</v>
      </c>
      <c r="I25" s="91">
        <v>3.5</v>
      </c>
      <c r="K25" s="87">
        <f t="shared" si="1"/>
        <v>3</v>
      </c>
      <c r="L25" s="88">
        <v>3</v>
      </c>
      <c r="M25" s="87">
        <f t="shared" si="2"/>
        <v>3.5</v>
      </c>
    </row>
    <row r="26" spans="1:14" s="38" customFormat="1" ht="87.65" customHeight="1" outlineLevel="1">
      <c r="A26" s="46"/>
      <c r="B26" s="4">
        <v>6.2</v>
      </c>
      <c r="C26" s="41" t="s">
        <v>166</v>
      </c>
      <c r="D26" s="35" t="s">
        <v>325</v>
      </c>
      <c r="E26" s="36" t="s">
        <v>324</v>
      </c>
      <c r="F26" s="5" t="s">
        <v>159</v>
      </c>
      <c r="G26" s="49" t="s">
        <v>63</v>
      </c>
      <c r="H26" s="93">
        <f t="shared" si="0"/>
        <v>7.4999999999999997E-2</v>
      </c>
      <c r="I26" s="91">
        <v>3</v>
      </c>
      <c r="K26" s="49">
        <f t="shared" si="1"/>
        <v>3</v>
      </c>
      <c r="L26" s="44">
        <v>3</v>
      </c>
      <c r="M26" s="49">
        <f t="shared" si="2"/>
        <v>3</v>
      </c>
    </row>
    <row r="27" spans="1:14">
      <c r="B27" s="3">
        <v>7</v>
      </c>
      <c r="C27" s="19" t="s">
        <v>326</v>
      </c>
      <c r="D27" s="20"/>
      <c r="E27" s="20"/>
      <c r="F27" s="97"/>
      <c r="G27" s="86"/>
      <c r="H27" s="53">
        <f t="shared" si="0"/>
        <v>0.23749999999999999</v>
      </c>
      <c r="I27" s="50">
        <f>SUM(I28:I30)</f>
        <v>9.5</v>
      </c>
      <c r="J27" s="31"/>
      <c r="K27" s="53">
        <f>IF(COUNTIF(K28:K30,"=N/A")=4,"N/A",IF(SUM(K28:K30)=0,0,((N(K28)*$H28)+(N(K29)*$H29)+(N(K30)*$H30))/(IF(K28="N/A",0,(3*$H28))+IF(K29="N/A",0,(3*$H29))+IF(K30="N/A",0,(3*H30)))))</f>
        <v>1</v>
      </c>
      <c r="L27" s="53">
        <f>K27</f>
        <v>1</v>
      </c>
      <c r="M27" s="50">
        <f>IF(K27="N/A","N/A",K27*$I$8*H27)</f>
        <v>9.5</v>
      </c>
      <c r="N27" s="31"/>
    </row>
    <row r="28" spans="1:14" s="38" customFormat="1" ht="87.5" customHeight="1" outlineLevel="1">
      <c r="A28" s="46"/>
      <c r="B28" s="4">
        <v>7.1</v>
      </c>
      <c r="C28" s="41" t="s">
        <v>25</v>
      </c>
      <c r="D28" s="35" t="s">
        <v>327</v>
      </c>
      <c r="E28" s="36" t="s">
        <v>293</v>
      </c>
      <c r="F28" s="5" t="s">
        <v>160</v>
      </c>
      <c r="G28" s="49" t="s">
        <v>63</v>
      </c>
      <c r="H28" s="93">
        <f t="shared" si="0"/>
        <v>6.25E-2</v>
      </c>
      <c r="I28" s="91">
        <v>2.5</v>
      </c>
      <c r="K28" s="87">
        <f t="shared" si="1"/>
        <v>3</v>
      </c>
      <c r="L28" s="88">
        <v>3</v>
      </c>
      <c r="M28" s="87">
        <f t="shared" si="2"/>
        <v>2.5</v>
      </c>
    </row>
    <row r="29" spans="1:14" s="38" customFormat="1" ht="118.5" customHeight="1" outlineLevel="1">
      <c r="A29" s="46"/>
      <c r="B29" s="4">
        <v>7.2</v>
      </c>
      <c r="C29" s="41" t="s">
        <v>26</v>
      </c>
      <c r="D29" s="35" t="s">
        <v>246</v>
      </c>
      <c r="E29" s="36" t="s">
        <v>209</v>
      </c>
      <c r="F29" s="5" t="s">
        <v>161</v>
      </c>
      <c r="G29" s="49" t="s">
        <v>63</v>
      </c>
      <c r="H29" s="93">
        <f t="shared" si="0"/>
        <v>8.7499999999999994E-2</v>
      </c>
      <c r="I29" s="91">
        <v>3.5</v>
      </c>
      <c r="K29" s="49">
        <f t="shared" si="1"/>
        <v>3</v>
      </c>
      <c r="L29" s="44">
        <v>3</v>
      </c>
      <c r="M29" s="49">
        <f t="shared" si="2"/>
        <v>3.5</v>
      </c>
    </row>
    <row r="30" spans="1:14" s="38" customFormat="1" ht="114.75" customHeight="1" outlineLevel="1">
      <c r="A30" s="46"/>
      <c r="B30" s="4">
        <v>7.3</v>
      </c>
      <c r="C30" s="41" t="s">
        <v>27</v>
      </c>
      <c r="D30" s="35" t="s">
        <v>331</v>
      </c>
      <c r="E30" s="36" t="s">
        <v>346</v>
      </c>
      <c r="F30" s="5" t="s">
        <v>139</v>
      </c>
      <c r="G30" s="49" t="s">
        <v>63</v>
      </c>
      <c r="H30" s="93">
        <f t="shared" si="0"/>
        <v>8.7499999999999994E-2</v>
      </c>
      <c r="I30" s="91">
        <v>3.5</v>
      </c>
      <c r="K30" s="49">
        <f t="shared" si="1"/>
        <v>3</v>
      </c>
      <c r="L30" s="44">
        <v>3</v>
      </c>
      <c r="M30" s="49">
        <f t="shared" si="2"/>
        <v>3.5</v>
      </c>
    </row>
    <row r="31" spans="1:14">
      <c r="J31" s="67"/>
    </row>
    <row r="32" spans="1:14">
      <c r="J32" s="67"/>
    </row>
    <row r="33" spans="10:10" hidden="1">
      <c r="J33" s="67"/>
    </row>
    <row r="34" spans="10:10" hidden="1"/>
    <row r="35" spans="10:10" hidden="1"/>
    <row r="36" spans="10:10" hidden="1"/>
    <row r="37" spans="10:10" hidden="1"/>
    <row r="38" spans="10:10" hidden="1"/>
    <row r="39" spans="10:10" hidden="1"/>
    <row r="40" spans="10:10" hidden="1"/>
    <row r="41" spans="10:10" hidden="1"/>
    <row r="42" spans="10:10" hidden="1"/>
  </sheetData>
  <mergeCells count="2">
    <mergeCell ref="K6:M6"/>
    <mergeCell ref="C9:E9"/>
  </mergeCells>
  <dataValidations count="2">
    <dataValidation type="list" allowBlank="1" showInputMessage="1" showErrorMessage="1" sqref="L10 L28 L14" xr:uid="{00000000-0002-0000-0100-000000000000}">
      <formula1>$A$3:$A$5</formula1>
    </dataValidation>
    <dataValidation type="list" allowBlank="1" showInputMessage="1" showErrorMessage="1" sqref="L16:L18 L29:L30 L13 L25:L26 L22:L23 L11 L20" xr:uid="{00000000-0002-0000-0100-000001000000}">
      <formula1>$A$8:$A$11</formula1>
    </dataValidation>
  </dataValidation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48"/>
  <sheetViews>
    <sheetView showGridLines="0" showRowColHeaders="0" zoomScale="60" zoomScaleNormal="60" workbookViewId="0">
      <selection activeCell="B8" sqref="B8"/>
    </sheetView>
  </sheetViews>
  <sheetFormatPr defaultColWidth="2.26953125" defaultRowHeight="14.5" customHeight="1" zeroHeight="1" outlineLevelRow="1"/>
  <cols>
    <col min="1" max="1" width="1.54296875" style="78" customWidth="1"/>
    <col min="2" max="2" width="5.54296875" style="66" customWidth="1"/>
    <col min="3" max="3" width="20.54296875" style="66" customWidth="1"/>
    <col min="4" max="5" width="75.54296875" style="66" customWidth="1"/>
    <col min="6" max="6" width="26.81640625" style="66" customWidth="1"/>
    <col min="7" max="7" width="12.81640625" style="67" bestFit="1" customWidth="1"/>
    <col min="8" max="8" width="11.81640625" style="67" customWidth="1"/>
    <col min="9" max="9" width="8.81640625" customWidth="1"/>
    <col min="10" max="10" width="1.54296875" customWidth="1"/>
    <col min="11" max="13" width="8.81640625" customWidth="1"/>
    <col min="14" max="20" width="10.7265625" hidden="1" customWidth="1"/>
    <col min="21" max="16383" width="0" hidden="1" customWidth="1"/>
    <col min="16384" max="16384" width="2.26953125" hidden="1"/>
  </cols>
  <sheetData>
    <row r="1" spans="1:14" ht="14.5" customHeight="1"/>
    <row r="2" spans="1:14">
      <c r="A2" s="78">
        <v>3</v>
      </c>
      <c r="N2" t="s">
        <v>60</v>
      </c>
    </row>
    <row r="3" spans="1:14">
      <c r="A3" s="78">
        <v>0</v>
      </c>
      <c r="B3" s="23"/>
      <c r="C3" s="24"/>
      <c r="D3" s="24"/>
      <c r="E3" s="24"/>
      <c r="F3" s="24"/>
      <c r="G3" s="70"/>
      <c r="H3" s="69"/>
      <c r="I3" s="69"/>
      <c r="K3" s="69"/>
      <c r="L3" s="69"/>
      <c r="M3" s="69"/>
    </row>
    <row r="4" spans="1:14">
      <c r="A4" s="100" t="s">
        <v>59</v>
      </c>
      <c r="B4" s="23"/>
      <c r="C4" s="24"/>
      <c r="D4" s="24"/>
      <c r="E4" s="24"/>
      <c r="F4" s="24"/>
      <c r="G4" s="70"/>
      <c r="H4" s="69"/>
      <c r="I4" s="69"/>
      <c r="K4" s="69"/>
      <c r="L4" s="69"/>
      <c r="M4" s="69"/>
    </row>
    <row r="5" spans="1:14">
      <c r="B5" s="23"/>
      <c r="C5" s="24"/>
      <c r="D5" s="24"/>
      <c r="E5" s="24"/>
      <c r="F5" s="24"/>
      <c r="G5" s="70"/>
      <c r="H5" s="69"/>
      <c r="I5" s="69"/>
      <c r="K5" s="69"/>
      <c r="L5" s="69"/>
      <c r="M5" s="69"/>
    </row>
    <row r="6" spans="1:14">
      <c r="B6" s="23"/>
      <c r="C6" s="24"/>
      <c r="D6" s="24"/>
      <c r="E6" s="24"/>
      <c r="F6" s="24"/>
      <c r="G6" s="70"/>
      <c r="H6" s="69"/>
      <c r="I6" s="69"/>
      <c r="K6" s="105" t="s">
        <v>55</v>
      </c>
      <c r="L6" s="105"/>
      <c r="M6" s="105"/>
    </row>
    <row r="7" spans="1:14" ht="26">
      <c r="B7" s="104" t="s">
        <v>0</v>
      </c>
      <c r="C7" s="104" t="s">
        <v>1</v>
      </c>
      <c r="D7" s="104" t="s">
        <v>2</v>
      </c>
      <c r="E7" s="104" t="s">
        <v>3</v>
      </c>
      <c r="F7" s="104" t="s">
        <v>128</v>
      </c>
      <c r="G7" s="6" t="s">
        <v>52</v>
      </c>
      <c r="H7" s="104" t="s">
        <v>53</v>
      </c>
      <c r="I7" s="43" t="s">
        <v>54</v>
      </c>
      <c r="K7" s="104" t="s">
        <v>56</v>
      </c>
      <c r="L7" s="104" t="s">
        <v>57</v>
      </c>
      <c r="M7" s="104" t="s">
        <v>58</v>
      </c>
    </row>
    <row r="8" spans="1:14" s="31" customFormat="1" ht="13">
      <c r="A8" s="45">
        <v>3</v>
      </c>
      <c r="B8" s="18" t="s">
        <v>41</v>
      </c>
      <c r="C8" s="18"/>
      <c r="D8" s="18"/>
      <c r="E8" s="18"/>
      <c r="F8" s="18"/>
      <c r="G8" s="85"/>
      <c r="H8" s="54">
        <f>I8/I8</f>
        <v>1</v>
      </c>
      <c r="I8" s="51">
        <f>SUM(I9,I12,I17,I20,I23,I26,I30,I33,I39)</f>
        <v>60</v>
      </c>
      <c r="K8" s="52">
        <f>SUM(M9,M12,M17,M20,M23,M26,M30,M33,M39)/((I8-IF(K9="N/A",I9,0)-IF(K12="N/A",I12,0)-IF(K17="N/A",I17,0)-IF(K20="N/A",I20,0)-IF(K23="N/A",I23,0)-IF(K26="N/A",I26,0)-IF(K30="N/A",I30,0)-IF(K33="N/A",I33,0)-IF(K39="N/A",I39,0)))</f>
        <v>1</v>
      </c>
      <c r="L8" s="52">
        <f>K8</f>
        <v>1</v>
      </c>
      <c r="M8" s="59">
        <f>K8*I8</f>
        <v>60</v>
      </c>
    </row>
    <row r="9" spans="1:14" s="31" customFormat="1" ht="13">
      <c r="A9" s="46">
        <v>1</v>
      </c>
      <c r="B9" s="25">
        <v>1</v>
      </c>
      <c r="C9" s="106" t="s">
        <v>29</v>
      </c>
      <c r="D9" s="107"/>
      <c r="E9" s="107"/>
      <c r="F9" s="28"/>
      <c r="G9" s="86"/>
      <c r="H9" s="55">
        <f>I9/$I$8</f>
        <v>0.05</v>
      </c>
      <c r="I9" s="50">
        <f>SUM(I10:I11)</f>
        <v>3</v>
      </c>
      <c r="K9" s="47">
        <f>IF(COUNTIF(K10:K11,"=N/A")=2,"N/A",IF(SUM(K10:K11)=0,0,(N(K10)*$H10)+(N(K11)*$H11))/(IF(K10="N/A",0,(3*$H10))+IF(K11="N/A",0,(3*$H11))))</f>
        <v>1</v>
      </c>
      <c r="L9" s="47">
        <f>K9</f>
        <v>1</v>
      </c>
      <c r="M9" s="48">
        <f>IF(K9="N/A","N/A",K9*$I$8*H9)</f>
        <v>3</v>
      </c>
    </row>
    <row r="10" spans="1:14" s="38" customFormat="1" ht="135.65" customHeight="1" outlineLevel="1">
      <c r="A10" s="46">
        <v>0</v>
      </c>
      <c r="B10" s="29">
        <v>1.1000000000000001</v>
      </c>
      <c r="C10" s="73" t="s">
        <v>69</v>
      </c>
      <c r="D10" s="36" t="s">
        <v>295</v>
      </c>
      <c r="E10" s="36" t="s">
        <v>294</v>
      </c>
      <c r="F10" s="36" t="s">
        <v>180</v>
      </c>
      <c r="G10" s="49" t="s">
        <v>61</v>
      </c>
      <c r="H10" s="93">
        <f t="shared" ref="H10:H42" si="0">I10/$I$8</f>
        <v>3.3333333333333333E-2</v>
      </c>
      <c r="I10" s="91">
        <v>2</v>
      </c>
      <c r="K10" s="49">
        <f>IF(OR(L10=""),"",IF(AND(L10="N/A"),"N/A",AVERAGE(L10:L10)))</f>
        <v>3</v>
      </c>
      <c r="L10" s="44">
        <v>3</v>
      </c>
      <c r="M10" s="91">
        <f>IF(K10="N/A","N/A",K10/3*I10)</f>
        <v>2</v>
      </c>
    </row>
    <row r="11" spans="1:14" s="38" customFormat="1" ht="105.65" customHeight="1" outlineLevel="1">
      <c r="A11" s="45" t="s">
        <v>59</v>
      </c>
      <c r="B11" s="29">
        <v>1.2</v>
      </c>
      <c r="C11" s="73" t="s">
        <v>87</v>
      </c>
      <c r="D11" s="99" t="s">
        <v>296</v>
      </c>
      <c r="E11" s="36" t="s">
        <v>297</v>
      </c>
      <c r="F11" s="36" t="s">
        <v>136</v>
      </c>
      <c r="G11" s="49"/>
      <c r="H11" s="93">
        <f t="shared" si="0"/>
        <v>1.6666666666666666E-2</v>
      </c>
      <c r="I11" s="91">
        <v>1</v>
      </c>
      <c r="K11" s="49">
        <f>IF(OR(L11=""),"",IF(AND(L11="N/A"),"N/A",AVERAGE(L11:L11)))</f>
        <v>3</v>
      </c>
      <c r="L11" s="44">
        <v>3</v>
      </c>
      <c r="M11" s="91">
        <f>IF(K11="N/A","N/A",K11/3*I11)</f>
        <v>1</v>
      </c>
    </row>
    <row r="12" spans="1:14" s="31" customFormat="1" ht="13">
      <c r="A12" s="45"/>
      <c r="B12" s="25">
        <v>2</v>
      </c>
      <c r="C12" s="106" t="s">
        <v>30</v>
      </c>
      <c r="D12" s="107"/>
      <c r="E12" s="107"/>
      <c r="F12" s="40"/>
      <c r="G12" s="50"/>
      <c r="H12" s="55">
        <f t="shared" si="0"/>
        <v>0.13333333333333333</v>
      </c>
      <c r="I12" s="50">
        <f>SUM(I13:I16)</f>
        <v>8</v>
      </c>
      <c r="K12" s="53">
        <f>IF(COUNTIF(K13:K16,"=N/A")=4,"N/A",IF(SUM(K13:K16)=0,0,((N(K13)*$H13)+(N(K14)*$H14)+(N(K15)*$H15)+(N(K16)*$H16))/(IF(K13="N/A",0,(3*$H13))+IF(K14="N/A",0,(3*$H14))+IF(K15="N/A",0,(3*$H15))+IF(K16="N/A",0,(3*H16)))))</f>
        <v>1</v>
      </c>
      <c r="L12" s="53">
        <f>K12</f>
        <v>1</v>
      </c>
      <c r="M12" s="50">
        <f>IF(K12="N/A","N/A",K12*$I$8*H12)</f>
        <v>8</v>
      </c>
    </row>
    <row r="13" spans="1:14" s="38" customFormat="1" ht="73.5" customHeight="1" outlineLevel="1">
      <c r="A13" s="46"/>
      <c r="B13" s="29">
        <v>2.1</v>
      </c>
      <c r="C13" s="41" t="s">
        <v>108</v>
      </c>
      <c r="D13" s="99" t="s">
        <v>247</v>
      </c>
      <c r="E13" s="99" t="s">
        <v>342</v>
      </c>
      <c r="F13" s="99" t="s">
        <v>177</v>
      </c>
      <c r="G13" s="49" t="s">
        <v>62</v>
      </c>
      <c r="H13" s="56">
        <f t="shared" si="0"/>
        <v>3.3333333333333333E-2</v>
      </c>
      <c r="I13" s="49">
        <v>2</v>
      </c>
      <c r="K13" s="49">
        <f t="shared" ref="K13:K42" si="1">IF(OR(L13=""),"",IF(AND(L13="N/A"),"N/A",AVERAGE(L13:L13)))</f>
        <v>3</v>
      </c>
      <c r="L13" s="44">
        <v>3</v>
      </c>
      <c r="M13" s="91">
        <f t="shared" ref="M13:M42" si="2">IF(K13="N/A","N/A",K13/3*I13)</f>
        <v>2</v>
      </c>
    </row>
    <row r="14" spans="1:14" s="38" customFormat="1" ht="75" customHeight="1" outlineLevel="1">
      <c r="A14" s="46"/>
      <c r="B14" s="29">
        <v>2.2000000000000002</v>
      </c>
      <c r="C14" s="41" t="s">
        <v>31</v>
      </c>
      <c r="D14" s="99" t="s">
        <v>332</v>
      </c>
      <c r="E14" s="99" t="s">
        <v>311</v>
      </c>
      <c r="F14" s="99" t="s">
        <v>138</v>
      </c>
      <c r="G14" s="49" t="s">
        <v>63</v>
      </c>
      <c r="H14" s="93">
        <f t="shared" si="0"/>
        <v>0.05</v>
      </c>
      <c r="I14" s="49">
        <v>3</v>
      </c>
      <c r="K14" s="49">
        <f t="shared" si="1"/>
        <v>3</v>
      </c>
      <c r="L14" s="44">
        <v>3</v>
      </c>
      <c r="M14" s="91">
        <f t="shared" si="2"/>
        <v>3</v>
      </c>
    </row>
    <row r="15" spans="1:14" s="38" customFormat="1" ht="76" customHeight="1" outlineLevel="1">
      <c r="A15" s="46"/>
      <c r="B15" s="29">
        <v>2.2999999999999998</v>
      </c>
      <c r="C15" s="41" t="s">
        <v>32</v>
      </c>
      <c r="D15" s="99" t="s">
        <v>109</v>
      </c>
      <c r="E15" s="99" t="s">
        <v>137</v>
      </c>
      <c r="F15" s="99" t="s">
        <v>178</v>
      </c>
      <c r="G15" s="49" t="s">
        <v>61</v>
      </c>
      <c r="H15" s="93">
        <f t="shared" si="0"/>
        <v>3.3333333333333333E-2</v>
      </c>
      <c r="I15" s="49">
        <v>2</v>
      </c>
      <c r="K15" s="49">
        <f t="shared" si="1"/>
        <v>3</v>
      </c>
      <c r="L15" s="44">
        <v>3</v>
      </c>
      <c r="M15" s="91">
        <f t="shared" si="2"/>
        <v>2</v>
      </c>
    </row>
    <row r="16" spans="1:14" s="38" customFormat="1" ht="73.5" customHeight="1" outlineLevel="1">
      <c r="A16" s="46"/>
      <c r="B16" s="29">
        <v>2.4</v>
      </c>
      <c r="C16" s="41" t="s">
        <v>33</v>
      </c>
      <c r="D16" s="99" t="s">
        <v>110</v>
      </c>
      <c r="E16" s="99" t="s">
        <v>137</v>
      </c>
      <c r="F16" s="99" t="s">
        <v>178</v>
      </c>
      <c r="G16" s="49" t="s">
        <v>61</v>
      </c>
      <c r="H16" s="93">
        <f t="shared" si="0"/>
        <v>1.6666666666666666E-2</v>
      </c>
      <c r="I16" s="49">
        <v>1</v>
      </c>
      <c r="K16" s="49">
        <f t="shared" si="1"/>
        <v>3</v>
      </c>
      <c r="L16" s="44">
        <v>3</v>
      </c>
      <c r="M16" s="91">
        <f t="shared" si="2"/>
        <v>1</v>
      </c>
    </row>
    <row r="17" spans="1:13" s="31" customFormat="1" ht="13">
      <c r="A17" s="45"/>
      <c r="B17" s="25">
        <v>3</v>
      </c>
      <c r="C17" s="106" t="s">
        <v>34</v>
      </c>
      <c r="D17" s="107"/>
      <c r="E17" s="107"/>
      <c r="F17" s="102"/>
      <c r="G17" s="86"/>
      <c r="H17" s="55">
        <f t="shared" si="0"/>
        <v>6.6666666666666666E-2</v>
      </c>
      <c r="I17" s="50">
        <f>SUM(I18:I19)</f>
        <v>4</v>
      </c>
      <c r="K17" s="58">
        <f>IF(COUNTIF(K18:K19,"N/A")=2,"N/A",IF(SUM(K18:K19)=0,0,((N(K18)*$H18)+(N(K19)*$H19))/(IF(K18="N/A",0,(3*$H18))+IF(K19="N/A",0,(3*$H19)))))</f>
        <v>1</v>
      </c>
      <c r="L17" s="58">
        <f>K17</f>
        <v>1</v>
      </c>
      <c r="M17" s="92">
        <f>IF(K17="N/A","N/A",K17*$I$8*H17)</f>
        <v>4</v>
      </c>
    </row>
    <row r="18" spans="1:13" s="38" customFormat="1" ht="67.5" customHeight="1" outlineLevel="1">
      <c r="A18" s="46"/>
      <c r="B18" s="29">
        <v>3.1</v>
      </c>
      <c r="C18" s="41" t="s">
        <v>35</v>
      </c>
      <c r="D18" s="99" t="s">
        <v>248</v>
      </c>
      <c r="E18" s="99" t="s">
        <v>258</v>
      </c>
      <c r="F18" s="99" t="s">
        <v>139</v>
      </c>
      <c r="G18" s="49" t="s">
        <v>61</v>
      </c>
      <c r="H18" s="56">
        <f t="shared" si="0"/>
        <v>3.3333333333333333E-2</v>
      </c>
      <c r="I18" s="49">
        <v>2</v>
      </c>
      <c r="K18" s="49">
        <f t="shared" si="1"/>
        <v>3</v>
      </c>
      <c r="L18" s="44">
        <v>3</v>
      </c>
      <c r="M18" s="91">
        <f t="shared" si="2"/>
        <v>2</v>
      </c>
    </row>
    <row r="19" spans="1:13" s="38" customFormat="1" ht="93" customHeight="1" outlineLevel="1">
      <c r="A19" s="46"/>
      <c r="B19" s="29">
        <v>3.2</v>
      </c>
      <c r="C19" s="41" t="s">
        <v>167</v>
      </c>
      <c r="D19" s="99" t="s">
        <v>303</v>
      </c>
      <c r="E19" s="99" t="s">
        <v>343</v>
      </c>
      <c r="F19" s="99" t="s">
        <v>140</v>
      </c>
      <c r="G19" s="49" t="s">
        <v>61</v>
      </c>
      <c r="H19" s="93">
        <f t="shared" si="0"/>
        <v>3.3333333333333333E-2</v>
      </c>
      <c r="I19" s="49">
        <v>2</v>
      </c>
      <c r="K19" s="49">
        <f t="shared" si="1"/>
        <v>3</v>
      </c>
      <c r="L19" s="44">
        <v>3</v>
      </c>
      <c r="M19" s="91">
        <f t="shared" si="2"/>
        <v>2</v>
      </c>
    </row>
    <row r="20" spans="1:13" s="31" customFormat="1" ht="13">
      <c r="A20" s="45"/>
      <c r="B20" s="25">
        <v>4</v>
      </c>
      <c r="C20" s="106" t="s">
        <v>36</v>
      </c>
      <c r="D20" s="107"/>
      <c r="E20" s="107"/>
      <c r="F20" s="102"/>
      <c r="G20" s="86"/>
      <c r="H20" s="55">
        <f t="shared" si="0"/>
        <v>6.6666666666666666E-2</v>
      </c>
      <c r="I20" s="50">
        <f>SUM(I21:I22)</f>
        <v>4</v>
      </c>
      <c r="K20" s="58">
        <f>IF(COUNTIF(K21:K22,"N/A")=2,"N/A",IF(SUM(K21:K22)=0,0,((N(K21)*$H21)+(N(K22)*$H22))/(IF(K21="N/A",0,(3*$H21))+IF(K22="N/A",0,(3*$H22)))))</f>
        <v>1</v>
      </c>
      <c r="L20" s="58">
        <f>K20</f>
        <v>1</v>
      </c>
      <c r="M20" s="92">
        <f>IF(K20="N/A","N/A",K20*$I$8*H20)</f>
        <v>4</v>
      </c>
    </row>
    <row r="21" spans="1:13" s="38" customFormat="1" ht="77.5" customHeight="1" outlineLevel="1">
      <c r="A21" s="46"/>
      <c r="B21" s="29">
        <v>4.0999999999999996</v>
      </c>
      <c r="C21" s="41" t="s">
        <v>28</v>
      </c>
      <c r="D21" s="99" t="s">
        <v>249</v>
      </c>
      <c r="E21" s="99" t="s">
        <v>137</v>
      </c>
      <c r="F21" s="99" t="s">
        <v>178</v>
      </c>
      <c r="G21" s="49" t="s">
        <v>61</v>
      </c>
      <c r="H21" s="93">
        <f t="shared" si="0"/>
        <v>2.5000000000000001E-2</v>
      </c>
      <c r="I21" s="49">
        <v>1.5</v>
      </c>
      <c r="K21" s="49">
        <f t="shared" ref="K21" si="3">IF(OR(L21=""),"",IF(AND(L21="N/A"),"N/A",AVERAGE(L21:L21)))</f>
        <v>3</v>
      </c>
      <c r="L21" s="44">
        <v>3</v>
      </c>
      <c r="M21" s="91">
        <f t="shared" ref="M21" si="4">IF(K21="N/A","N/A",K21/3*I21)</f>
        <v>1.5</v>
      </c>
    </row>
    <row r="22" spans="1:13" s="38" customFormat="1" ht="102" customHeight="1" outlineLevel="1">
      <c r="A22" s="46"/>
      <c r="B22" s="29">
        <v>4.2</v>
      </c>
      <c r="C22" s="41" t="s">
        <v>111</v>
      </c>
      <c r="D22" s="99" t="s">
        <v>310</v>
      </c>
      <c r="E22" s="99" t="s">
        <v>344</v>
      </c>
      <c r="F22" s="99" t="s">
        <v>141</v>
      </c>
      <c r="G22" s="49" t="s">
        <v>63</v>
      </c>
      <c r="H22" s="93">
        <f t="shared" si="0"/>
        <v>4.1666666666666664E-2</v>
      </c>
      <c r="I22" s="49">
        <v>2.5</v>
      </c>
      <c r="K22" s="49">
        <f t="shared" si="1"/>
        <v>3</v>
      </c>
      <c r="L22" s="44">
        <v>3</v>
      </c>
      <c r="M22" s="91">
        <f t="shared" si="2"/>
        <v>2.5</v>
      </c>
    </row>
    <row r="23" spans="1:13" s="31" customFormat="1" ht="13">
      <c r="A23" s="45"/>
      <c r="B23" s="25">
        <v>5</v>
      </c>
      <c r="C23" s="106" t="s">
        <v>37</v>
      </c>
      <c r="D23" s="107"/>
      <c r="E23" s="107"/>
      <c r="F23" s="102"/>
      <c r="G23" s="86"/>
      <c r="H23" s="55">
        <f t="shared" si="0"/>
        <v>6.6666666666666666E-2</v>
      </c>
      <c r="I23" s="50">
        <f>SUM(I24:I25)</f>
        <v>4</v>
      </c>
      <c r="K23" s="58">
        <f>IF(COUNTIF(K24:K25,"=N/A")=2,"N/A",IF(SUM(K24:K25)=0,0,((N(K24)*$H24)+(N(K25)*$H25))/(IF(K24="N/A",0,(3*$H24))+IF(K25="N/A",0,(3*$H25)))))</f>
        <v>1</v>
      </c>
      <c r="L23" s="58">
        <f>K23</f>
        <v>1</v>
      </c>
      <c r="M23" s="92">
        <f>IF(K23="N/A","N/A",K23*$I$8*H23)</f>
        <v>4</v>
      </c>
    </row>
    <row r="24" spans="1:13" s="38" customFormat="1" ht="85.5" customHeight="1" outlineLevel="1">
      <c r="A24" s="46"/>
      <c r="B24" s="29">
        <v>5.0999999999999996</v>
      </c>
      <c r="C24" s="41" t="s">
        <v>270</v>
      </c>
      <c r="D24" s="99" t="s">
        <v>268</v>
      </c>
      <c r="E24" s="99" t="s">
        <v>292</v>
      </c>
      <c r="F24" s="99" t="s">
        <v>142</v>
      </c>
      <c r="G24" s="49" t="s">
        <v>64</v>
      </c>
      <c r="H24" s="93">
        <f t="shared" si="0"/>
        <v>2.5000000000000001E-2</v>
      </c>
      <c r="I24" s="49">
        <v>1.5</v>
      </c>
      <c r="K24" s="49">
        <f t="shared" si="1"/>
        <v>3</v>
      </c>
      <c r="L24" s="44">
        <v>3</v>
      </c>
      <c r="M24" s="91">
        <f t="shared" si="2"/>
        <v>1.5</v>
      </c>
    </row>
    <row r="25" spans="1:13" s="38" customFormat="1" ht="96" customHeight="1" outlineLevel="1">
      <c r="A25" s="46"/>
      <c r="B25" s="29">
        <v>5.2</v>
      </c>
      <c r="C25" s="41" t="s">
        <v>271</v>
      </c>
      <c r="D25" s="99" t="s">
        <v>269</v>
      </c>
      <c r="E25" s="99" t="s">
        <v>272</v>
      </c>
      <c r="F25" s="99" t="s">
        <v>142</v>
      </c>
      <c r="G25" s="49" t="s">
        <v>63</v>
      </c>
      <c r="H25" s="93">
        <f t="shared" si="0"/>
        <v>4.1666666666666664E-2</v>
      </c>
      <c r="I25" s="49">
        <v>2.5</v>
      </c>
      <c r="K25" s="49">
        <f t="shared" si="1"/>
        <v>3</v>
      </c>
      <c r="L25" s="44">
        <v>3</v>
      </c>
      <c r="M25" s="91">
        <f t="shared" si="2"/>
        <v>2.5</v>
      </c>
    </row>
    <row r="26" spans="1:13" s="31" customFormat="1" ht="13">
      <c r="A26" s="45"/>
      <c r="B26" s="25">
        <v>6</v>
      </c>
      <c r="C26" s="106" t="s">
        <v>42</v>
      </c>
      <c r="D26" s="107"/>
      <c r="E26" s="107"/>
      <c r="F26" s="102"/>
      <c r="G26" s="86"/>
      <c r="H26" s="55">
        <f t="shared" si="0"/>
        <v>0.16666666666666666</v>
      </c>
      <c r="I26" s="50">
        <f>SUM(I27:I29)</f>
        <v>10</v>
      </c>
      <c r="K26" s="58">
        <f>IF(COUNTIF(K27:K29,"=N/A")=3,"N/A",IF(SUM(K27:K29)=0,0,((N(K27)*$H27)+(N(K28)*$H28)+(N(K29)*$H29)))/(IF(K27="N/A",0,(3*$H27))+IF(K28="N/A",0,(3*$H28))+IF(K29="N/A",0,(3*$H29))))</f>
        <v>1</v>
      </c>
      <c r="L26" s="58">
        <f>K26</f>
        <v>1</v>
      </c>
      <c r="M26" s="92">
        <f>IF(K26="N/A","N/A",K26*$I$8*H26)</f>
        <v>10</v>
      </c>
    </row>
    <row r="27" spans="1:13" s="38" customFormat="1" ht="148.5" customHeight="1" outlineLevel="1">
      <c r="A27" s="46"/>
      <c r="B27" s="29">
        <v>6.1</v>
      </c>
      <c r="C27" s="41" t="s">
        <v>112</v>
      </c>
      <c r="D27" s="99" t="s">
        <v>347</v>
      </c>
      <c r="E27" s="99" t="s">
        <v>348</v>
      </c>
      <c r="F27" s="99" t="s">
        <v>143</v>
      </c>
      <c r="G27" s="49" t="s">
        <v>61</v>
      </c>
      <c r="H27" s="93">
        <f t="shared" si="0"/>
        <v>0.05</v>
      </c>
      <c r="I27" s="49">
        <v>3</v>
      </c>
      <c r="K27" s="49">
        <f t="shared" si="1"/>
        <v>3</v>
      </c>
      <c r="L27" s="44">
        <v>3</v>
      </c>
      <c r="M27" s="91">
        <f t="shared" si="2"/>
        <v>3</v>
      </c>
    </row>
    <row r="28" spans="1:13" s="38" customFormat="1" ht="72.650000000000006" customHeight="1" outlineLevel="1">
      <c r="A28" s="46"/>
      <c r="B28" s="29">
        <v>6.2</v>
      </c>
      <c r="C28" s="41" t="s">
        <v>113</v>
      </c>
      <c r="D28" s="99" t="s">
        <v>250</v>
      </c>
      <c r="E28" s="99" t="s">
        <v>251</v>
      </c>
      <c r="F28" s="99" t="s">
        <v>144</v>
      </c>
      <c r="G28" s="49" t="s">
        <v>65</v>
      </c>
      <c r="H28" s="56">
        <f t="shared" si="0"/>
        <v>3.3333333333333333E-2</v>
      </c>
      <c r="I28" s="49">
        <v>2</v>
      </c>
      <c r="K28" s="49">
        <f t="shared" si="1"/>
        <v>3</v>
      </c>
      <c r="L28" s="44">
        <v>3</v>
      </c>
      <c r="M28" s="91">
        <f t="shared" si="2"/>
        <v>2</v>
      </c>
    </row>
    <row r="29" spans="1:13" s="38" customFormat="1" ht="126.65" customHeight="1" outlineLevel="1">
      <c r="A29" s="46"/>
      <c r="B29" s="29">
        <v>6.3</v>
      </c>
      <c r="C29" s="41" t="s">
        <v>114</v>
      </c>
      <c r="D29" s="99" t="s">
        <v>252</v>
      </c>
      <c r="E29" s="99" t="s">
        <v>308</v>
      </c>
      <c r="F29" s="99" t="s">
        <v>145</v>
      </c>
      <c r="G29" s="49" t="s">
        <v>65</v>
      </c>
      <c r="H29" s="93">
        <f t="shared" si="0"/>
        <v>8.3333333333333329E-2</v>
      </c>
      <c r="I29" s="49">
        <v>5</v>
      </c>
      <c r="K29" s="49">
        <f t="shared" si="1"/>
        <v>3</v>
      </c>
      <c r="L29" s="44">
        <v>3</v>
      </c>
      <c r="M29" s="91">
        <f t="shared" si="2"/>
        <v>5</v>
      </c>
    </row>
    <row r="30" spans="1:13" s="31" customFormat="1" ht="13">
      <c r="A30" s="45"/>
      <c r="B30" s="25">
        <v>7</v>
      </c>
      <c r="C30" s="108" t="s">
        <v>43</v>
      </c>
      <c r="D30" s="109"/>
      <c r="E30" s="109"/>
      <c r="F30" s="103"/>
      <c r="G30" s="57"/>
      <c r="H30" s="55">
        <f t="shared" si="0"/>
        <v>6.6666666666666666E-2</v>
      </c>
      <c r="I30" s="50">
        <f>SUM(I31:I32)</f>
        <v>4</v>
      </c>
      <c r="K30" s="58">
        <f>IF(COUNTIF(K31:K32,"=N/A")=2,"N/A",IF(SUM(K31:K32)=0,0,((N(K31)*$H31)+(N(K32)*$H32))/(IF(K31="N/A",0,(3*$H31))+IF(K32="N/A",0,(3*$H32)))))</f>
        <v>1</v>
      </c>
      <c r="L30" s="58">
        <f>K30</f>
        <v>1</v>
      </c>
      <c r="M30" s="92">
        <f>IF(K30="N/A","N/A",K30*$I$8*H30)</f>
        <v>4</v>
      </c>
    </row>
    <row r="31" spans="1:13" s="38" customFormat="1" ht="91" customHeight="1" outlineLevel="1">
      <c r="A31" s="46"/>
      <c r="B31" s="29">
        <v>7.1</v>
      </c>
      <c r="C31" s="41" t="s">
        <v>115</v>
      </c>
      <c r="D31" s="99" t="s">
        <v>333</v>
      </c>
      <c r="E31" s="99" t="s">
        <v>116</v>
      </c>
      <c r="F31" s="99" t="s">
        <v>146</v>
      </c>
      <c r="G31" s="49" t="s">
        <v>61</v>
      </c>
      <c r="H31" s="93">
        <f t="shared" si="0"/>
        <v>3.3333333333333333E-2</v>
      </c>
      <c r="I31" s="49">
        <v>2</v>
      </c>
      <c r="K31" s="49">
        <f t="shared" si="1"/>
        <v>3</v>
      </c>
      <c r="L31" s="44">
        <v>3</v>
      </c>
      <c r="M31" s="91">
        <f t="shared" si="2"/>
        <v>2</v>
      </c>
    </row>
    <row r="32" spans="1:13" s="38" customFormat="1" ht="103.5" customHeight="1" outlineLevel="1">
      <c r="A32" s="46"/>
      <c r="B32" s="29">
        <v>7.2</v>
      </c>
      <c r="C32" s="41" t="s">
        <v>117</v>
      </c>
      <c r="D32" s="99" t="s">
        <v>306</v>
      </c>
      <c r="E32" s="99" t="s">
        <v>118</v>
      </c>
      <c r="F32" s="99" t="s">
        <v>147</v>
      </c>
      <c r="G32" s="49" t="s">
        <v>62</v>
      </c>
      <c r="H32" s="56">
        <f t="shared" si="0"/>
        <v>3.3333333333333333E-2</v>
      </c>
      <c r="I32" s="49">
        <v>2</v>
      </c>
      <c r="K32" s="49">
        <f t="shared" si="1"/>
        <v>3</v>
      </c>
      <c r="L32" s="44">
        <v>3</v>
      </c>
      <c r="M32" s="91">
        <f t="shared" si="2"/>
        <v>2</v>
      </c>
    </row>
    <row r="33" spans="1:13" s="31" customFormat="1" ht="13">
      <c r="A33" s="45"/>
      <c r="B33" s="25">
        <v>8</v>
      </c>
      <c r="C33" s="108" t="s">
        <v>38</v>
      </c>
      <c r="D33" s="109"/>
      <c r="E33" s="109"/>
      <c r="F33" s="103"/>
      <c r="G33" s="57"/>
      <c r="H33" s="55">
        <f t="shared" si="0"/>
        <v>0.2</v>
      </c>
      <c r="I33" s="50">
        <f>SUM(I34:I38)</f>
        <v>12</v>
      </c>
      <c r="K33" s="58">
        <f>IF(COUNTIF(K34:K38,"=N/A")=5,"N/A",IF(SUM(K34:K38)=0,0,((N(K34)*$H34)+(N(K35)*$H35)+(N(K36)*$H36)+(N(K37)*$H37))+(N(K38)*$H38))/(IF(K34="N/A",0,(3*$H34))+IF(K35="N/A",0,(3*$H35))+IF(K36="N/A",0,(3*$H36))+IF(K37="N/A",0,(3*$H37))+IF(K38="N/A",0,(3*$H38))))</f>
        <v>1</v>
      </c>
      <c r="L33" s="58">
        <f>K33</f>
        <v>1</v>
      </c>
      <c r="M33" s="92">
        <f>IF(K33="N/A","N/A",K33*$I$8*H33)</f>
        <v>12</v>
      </c>
    </row>
    <row r="34" spans="1:13" s="38" customFormat="1" ht="133" customHeight="1" outlineLevel="1">
      <c r="A34" s="46"/>
      <c r="B34" s="29">
        <v>8.1</v>
      </c>
      <c r="C34" s="41" t="s">
        <v>119</v>
      </c>
      <c r="D34" s="99" t="s">
        <v>302</v>
      </c>
      <c r="E34" s="99" t="s">
        <v>345</v>
      </c>
      <c r="F34" s="99" t="s">
        <v>253</v>
      </c>
      <c r="G34" s="49" t="s">
        <v>65</v>
      </c>
      <c r="H34" s="93">
        <f t="shared" si="0"/>
        <v>3.3333333333333333E-2</v>
      </c>
      <c r="I34" s="49">
        <v>2</v>
      </c>
      <c r="K34" s="49">
        <f t="shared" si="1"/>
        <v>3</v>
      </c>
      <c r="L34" s="44">
        <v>3</v>
      </c>
      <c r="M34" s="91">
        <f t="shared" si="2"/>
        <v>2</v>
      </c>
    </row>
    <row r="35" spans="1:13" s="38" customFormat="1" ht="60" customHeight="1" outlineLevel="1">
      <c r="A35" s="46"/>
      <c r="B35" s="29">
        <v>8.1999999999999993</v>
      </c>
      <c r="C35" s="41" t="s">
        <v>120</v>
      </c>
      <c r="D35" s="99" t="s">
        <v>168</v>
      </c>
      <c r="E35" s="99" t="s">
        <v>169</v>
      </c>
      <c r="F35" s="99" t="s">
        <v>179</v>
      </c>
      <c r="G35" s="49" t="s">
        <v>65</v>
      </c>
      <c r="H35" s="56">
        <f t="shared" si="0"/>
        <v>3.3333333333333333E-2</v>
      </c>
      <c r="I35" s="49">
        <v>2</v>
      </c>
      <c r="K35" s="49">
        <f t="shared" si="1"/>
        <v>3</v>
      </c>
      <c r="L35" s="44">
        <v>3</v>
      </c>
      <c r="M35" s="91">
        <f t="shared" si="2"/>
        <v>2</v>
      </c>
    </row>
    <row r="36" spans="1:13" s="38" customFormat="1" ht="60" customHeight="1" outlineLevel="1">
      <c r="A36" s="46"/>
      <c r="B36" s="29">
        <v>8.3000000000000007</v>
      </c>
      <c r="C36" s="41" t="s">
        <v>121</v>
      </c>
      <c r="D36" s="99" t="s">
        <v>349</v>
      </c>
      <c r="E36" s="99" t="s">
        <v>175</v>
      </c>
      <c r="F36" s="99" t="s">
        <v>179</v>
      </c>
      <c r="G36" s="49" t="s">
        <v>65</v>
      </c>
      <c r="H36" s="56">
        <f t="shared" si="0"/>
        <v>6.6666666666666666E-2</v>
      </c>
      <c r="I36" s="49">
        <v>4</v>
      </c>
      <c r="K36" s="49">
        <f t="shared" si="1"/>
        <v>3</v>
      </c>
      <c r="L36" s="44">
        <v>3</v>
      </c>
      <c r="M36" s="91">
        <f t="shared" si="2"/>
        <v>4</v>
      </c>
    </row>
    <row r="37" spans="1:13" s="38" customFormat="1" ht="60" customHeight="1" outlineLevel="1">
      <c r="A37" s="46"/>
      <c r="B37" s="29">
        <v>8.4</v>
      </c>
      <c r="C37" s="41" t="s">
        <v>122</v>
      </c>
      <c r="D37" s="99" t="s">
        <v>254</v>
      </c>
      <c r="E37" s="99" t="s">
        <v>174</v>
      </c>
      <c r="F37" s="99" t="s">
        <v>179</v>
      </c>
      <c r="G37" s="49" t="s">
        <v>65</v>
      </c>
      <c r="H37" s="56">
        <f t="shared" si="0"/>
        <v>3.3333333333333333E-2</v>
      </c>
      <c r="I37" s="49">
        <v>2</v>
      </c>
      <c r="K37" s="49">
        <f t="shared" si="1"/>
        <v>3</v>
      </c>
      <c r="L37" s="44">
        <v>3</v>
      </c>
      <c r="M37" s="91">
        <f t="shared" si="2"/>
        <v>2</v>
      </c>
    </row>
    <row r="38" spans="1:13" s="38" customFormat="1" ht="87" customHeight="1" outlineLevel="1">
      <c r="A38" s="46"/>
      <c r="B38" s="29">
        <v>8.5</v>
      </c>
      <c r="C38" s="41" t="s">
        <v>123</v>
      </c>
      <c r="D38" s="99" t="s">
        <v>170</v>
      </c>
      <c r="E38" s="99" t="s">
        <v>176</v>
      </c>
      <c r="F38" s="99" t="s">
        <v>179</v>
      </c>
      <c r="G38" s="49" t="s">
        <v>65</v>
      </c>
      <c r="H38" s="56">
        <f t="shared" si="0"/>
        <v>3.3333333333333333E-2</v>
      </c>
      <c r="I38" s="49">
        <v>2</v>
      </c>
      <c r="K38" s="49">
        <f t="shared" si="1"/>
        <v>3</v>
      </c>
      <c r="L38" s="44">
        <v>3</v>
      </c>
      <c r="M38" s="91">
        <f t="shared" si="2"/>
        <v>2</v>
      </c>
    </row>
    <row r="39" spans="1:13" s="31" customFormat="1" ht="13">
      <c r="A39" s="45"/>
      <c r="B39" s="25">
        <v>9</v>
      </c>
      <c r="C39" s="108" t="s">
        <v>44</v>
      </c>
      <c r="D39" s="109"/>
      <c r="E39" s="109"/>
      <c r="F39" s="103"/>
      <c r="G39" s="57"/>
      <c r="H39" s="55">
        <f t="shared" si="0"/>
        <v>0.18333333333333332</v>
      </c>
      <c r="I39" s="50">
        <f>SUM(I40:I42)</f>
        <v>11</v>
      </c>
      <c r="K39" s="58">
        <f>IF(COUNTIF(K40:K42,"=N/A")=3,"N/A",IF(SUM(K40:K42)=0,0,((N(K40)*$H40)+(N(K41)*$H41)+(N(K42)*$H42)))/(IF(K40="N/A",0,(3*$H40))+IF(K41="N/A",0,(3*$H41))+IF(K42="N/A",0,(3*$H42))))</f>
        <v>1</v>
      </c>
      <c r="L39" s="58">
        <f>K39</f>
        <v>1</v>
      </c>
      <c r="M39" s="92">
        <f>IF(K39="N/A","N/A",K39*$I$8*H39)</f>
        <v>11</v>
      </c>
    </row>
    <row r="40" spans="1:13" s="38" customFormat="1" ht="66" customHeight="1" outlineLevel="1">
      <c r="A40" s="46"/>
      <c r="B40" s="29">
        <v>9.1</v>
      </c>
      <c r="C40" s="41" t="s">
        <v>124</v>
      </c>
      <c r="D40" s="99" t="s">
        <v>255</v>
      </c>
      <c r="E40" s="99" t="s">
        <v>171</v>
      </c>
      <c r="F40" s="99" t="s">
        <v>148</v>
      </c>
      <c r="G40" s="49" t="s">
        <v>65</v>
      </c>
      <c r="H40" s="56">
        <f t="shared" si="0"/>
        <v>0.11666666666666667</v>
      </c>
      <c r="I40" s="49">
        <v>7</v>
      </c>
      <c r="K40" s="49">
        <f t="shared" si="1"/>
        <v>3</v>
      </c>
      <c r="L40" s="44">
        <v>3</v>
      </c>
      <c r="M40" s="49">
        <f t="shared" si="2"/>
        <v>7</v>
      </c>
    </row>
    <row r="41" spans="1:13" s="38" customFormat="1" ht="74.150000000000006" customHeight="1" outlineLevel="1">
      <c r="A41" s="46"/>
      <c r="B41" s="29">
        <v>9.1999999999999993</v>
      </c>
      <c r="C41" s="41" t="s">
        <v>125</v>
      </c>
      <c r="D41" s="99" t="s">
        <v>256</v>
      </c>
      <c r="E41" s="99" t="s">
        <v>172</v>
      </c>
      <c r="F41" s="99" t="s">
        <v>149</v>
      </c>
      <c r="G41" s="49" t="s">
        <v>65</v>
      </c>
      <c r="H41" s="56">
        <f t="shared" si="0"/>
        <v>3.3333333333333333E-2</v>
      </c>
      <c r="I41" s="49">
        <v>2</v>
      </c>
      <c r="K41" s="49">
        <f t="shared" si="1"/>
        <v>3</v>
      </c>
      <c r="L41" s="44">
        <v>3</v>
      </c>
      <c r="M41" s="49">
        <f t="shared" si="2"/>
        <v>2</v>
      </c>
    </row>
    <row r="42" spans="1:13" s="38" customFormat="1" ht="76.5" customHeight="1" outlineLevel="1">
      <c r="A42" s="46"/>
      <c r="B42" s="29">
        <v>9.3000000000000007</v>
      </c>
      <c r="C42" s="41" t="s">
        <v>126</v>
      </c>
      <c r="D42" s="99" t="s">
        <v>165</v>
      </c>
      <c r="E42" s="99" t="s">
        <v>173</v>
      </c>
      <c r="F42" s="99" t="s">
        <v>150</v>
      </c>
      <c r="G42" s="49" t="s">
        <v>65</v>
      </c>
      <c r="H42" s="93">
        <f t="shared" si="0"/>
        <v>3.3333333333333333E-2</v>
      </c>
      <c r="I42" s="49">
        <v>2</v>
      </c>
      <c r="K42" s="49">
        <f t="shared" si="1"/>
        <v>3</v>
      </c>
      <c r="L42" s="44">
        <v>3</v>
      </c>
      <c r="M42" s="49">
        <f t="shared" si="2"/>
        <v>2</v>
      </c>
    </row>
    <row r="43" spans="1:13"/>
    <row r="44" spans="1:13"/>
    <row r="45" spans="1:13" hidden="1"/>
    <row r="46" spans="1:13" ht="14.5" hidden="1" customHeight="1"/>
    <row r="47" spans="1:13" ht="14.5" hidden="1" customHeight="1"/>
    <row r="48" spans="1:13" ht="14.5" hidden="1" customHeight="1"/>
  </sheetData>
  <mergeCells count="10">
    <mergeCell ref="C26:E26"/>
    <mergeCell ref="C30:E30"/>
    <mergeCell ref="C33:E33"/>
    <mergeCell ref="C39:E39"/>
    <mergeCell ref="K6:M6"/>
    <mergeCell ref="C9:E9"/>
    <mergeCell ref="C12:E12"/>
    <mergeCell ref="C17:E17"/>
    <mergeCell ref="C20:E20"/>
    <mergeCell ref="C23:E23"/>
  </mergeCells>
  <dataValidations disablePrompts="1" count="2">
    <dataValidation type="list" allowBlank="1" showInputMessage="1" showErrorMessage="1" sqref="L10:L11 L31" xr:uid="{00000000-0002-0000-0000-000000000000}">
      <formula1>$A$2:$A$4</formula1>
    </dataValidation>
    <dataValidation type="list" allowBlank="1" showInputMessage="1" showErrorMessage="1" sqref="L13:L16 L32 L24:L25 L27:L29 L18:L19 L34:L38 L40:L42 L21:L22" xr:uid="{00000000-0002-0000-0000-000001000000}">
      <formula1>$A$8:$A$11</formula1>
    </dataValidation>
  </dataValidation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2"/>
  <sheetViews>
    <sheetView showGridLines="0" showRowColHeaders="0" zoomScale="60" zoomScaleNormal="60" workbookViewId="0">
      <selection activeCell="B8" sqref="B8"/>
    </sheetView>
  </sheetViews>
  <sheetFormatPr defaultColWidth="0" defaultRowHeight="14.5" zeroHeight="1" outlineLevelRow="1"/>
  <cols>
    <col min="1" max="1" width="1.54296875" style="30" customWidth="1"/>
    <col min="2" max="2" width="5.54296875" style="67" customWidth="1"/>
    <col min="3" max="3" width="20.54296875" customWidth="1"/>
    <col min="4" max="5" width="75.54296875" customWidth="1"/>
    <col min="6" max="6" width="26.81640625" style="66" customWidth="1"/>
    <col min="7" max="7" width="12.81640625" style="67" bestFit="1" customWidth="1"/>
    <col min="8" max="8" width="8.81640625" style="67" customWidth="1"/>
    <col min="9" max="9" width="8.81640625" customWidth="1"/>
    <col min="10" max="10" width="1.54296875" customWidth="1"/>
    <col min="11" max="12" width="8.81640625" customWidth="1"/>
    <col min="13" max="13" width="10.1796875" customWidth="1"/>
    <col min="14" max="14" width="1.54296875" customWidth="1"/>
    <col min="15" max="16384" width="8.81640625" hidden="1"/>
  </cols>
  <sheetData>
    <row r="1" spans="1:14"/>
    <row r="2" spans="1:14">
      <c r="A2" s="78"/>
      <c r="B2" s="65"/>
      <c r="C2" s="31"/>
      <c r="D2" s="31"/>
      <c r="E2" s="31"/>
      <c r="M2" t="s">
        <v>60</v>
      </c>
    </row>
    <row r="3" spans="1:14">
      <c r="A3" s="78"/>
      <c r="B3" s="68"/>
      <c r="C3" s="2"/>
      <c r="D3" s="2"/>
      <c r="E3" s="2"/>
      <c r="F3" s="24"/>
      <c r="G3" s="70"/>
      <c r="H3" s="70"/>
      <c r="I3" s="69"/>
      <c r="K3" s="69"/>
      <c r="L3" s="69"/>
      <c r="M3" s="69"/>
    </row>
    <row r="4" spans="1:14">
      <c r="A4" s="78"/>
      <c r="B4" s="68"/>
      <c r="C4" s="2"/>
      <c r="D4" s="2"/>
      <c r="E4" s="2"/>
      <c r="F4" s="24"/>
      <c r="G4" s="70"/>
      <c r="H4" s="70"/>
      <c r="I4" s="69"/>
      <c r="K4" s="69"/>
      <c r="L4" s="69"/>
      <c r="M4" s="69"/>
    </row>
    <row r="5" spans="1:14">
      <c r="A5" s="78"/>
      <c r="B5" s="68"/>
      <c r="C5" s="2"/>
      <c r="D5" s="2"/>
      <c r="E5" s="2"/>
      <c r="F5" s="24"/>
      <c r="G5" s="70"/>
      <c r="H5" s="70"/>
      <c r="I5" s="69"/>
      <c r="K5" s="69"/>
      <c r="L5" s="69"/>
      <c r="M5" s="69"/>
    </row>
    <row r="6" spans="1:14" ht="14.5" customHeight="1">
      <c r="A6" s="78"/>
      <c r="B6" s="68"/>
      <c r="C6" s="2"/>
      <c r="D6" s="2"/>
      <c r="E6" s="2"/>
      <c r="F6" s="24"/>
      <c r="G6" s="70"/>
      <c r="H6" s="70"/>
      <c r="I6" s="69"/>
      <c r="K6" s="105" t="s">
        <v>55</v>
      </c>
      <c r="L6" s="105"/>
      <c r="M6" s="105"/>
    </row>
    <row r="7" spans="1:14" ht="26" customHeight="1">
      <c r="A7" s="45"/>
      <c r="B7" s="94" t="s">
        <v>0</v>
      </c>
      <c r="C7" s="94" t="s">
        <v>1</v>
      </c>
      <c r="D7" s="94" t="s">
        <v>2</v>
      </c>
      <c r="E7" s="94" t="s">
        <v>3</v>
      </c>
      <c r="F7" s="94" t="s">
        <v>128</v>
      </c>
      <c r="G7" s="6" t="s">
        <v>52</v>
      </c>
      <c r="H7" s="94" t="s">
        <v>53</v>
      </c>
      <c r="I7" s="43" t="s">
        <v>54</v>
      </c>
      <c r="K7" s="98" t="s">
        <v>56</v>
      </c>
      <c r="L7" s="98" t="s">
        <v>57</v>
      </c>
      <c r="M7" s="98" t="s">
        <v>58</v>
      </c>
    </row>
    <row r="8" spans="1:14" ht="14.5" customHeight="1">
      <c r="A8" s="45">
        <v>3</v>
      </c>
      <c r="B8" s="18" t="s">
        <v>4</v>
      </c>
      <c r="C8" s="18"/>
      <c r="D8" s="18"/>
      <c r="E8" s="18"/>
      <c r="F8" s="18"/>
      <c r="G8" s="85"/>
      <c r="H8" s="52">
        <f>SUM(H9,H11,H19,H25,H29)</f>
        <v>1</v>
      </c>
      <c r="I8" s="51">
        <f>SUM(I9,I11,I19,I25,I29)</f>
        <v>120</v>
      </c>
      <c r="J8" s="31"/>
      <c r="K8" s="52">
        <f>SUM(M9,M11,M19,M25,M29)/((I8-IF(K9="N/A",I9,0)-IF(K11="N/A",I11,0)-IF(K19="N/A",I19,0)-IF(K25="N/A",I25,0)-IF(K29="N/A",I29,0)))</f>
        <v>1</v>
      </c>
      <c r="L8" s="52">
        <f>K8</f>
        <v>1</v>
      </c>
      <c r="M8" s="59">
        <f>K8*I8</f>
        <v>120</v>
      </c>
      <c r="N8" s="31"/>
    </row>
    <row r="9" spans="1:14" s="31" customFormat="1" ht="13">
      <c r="A9" s="45">
        <v>1</v>
      </c>
      <c r="B9" s="32">
        <v>1</v>
      </c>
      <c r="C9" s="106" t="s">
        <v>5</v>
      </c>
      <c r="D9" s="107"/>
      <c r="E9" s="107"/>
      <c r="F9" s="28"/>
      <c r="G9" s="86"/>
      <c r="H9" s="53">
        <f t="shared" ref="H9:H35" si="0">I9/$I$8</f>
        <v>8.3333333333333329E-2</v>
      </c>
      <c r="I9" s="50">
        <f>SUM(I10:I10)</f>
        <v>10</v>
      </c>
      <c r="K9" s="58">
        <f>IF(COUNTIF(K10:K10,"=N/A")=1,"N/A",IF(SUM(K10:K10)=0,0,((N(K10)*$H10))/(IF(K10="N/A",0,(3*$H10)))))</f>
        <v>1</v>
      </c>
      <c r="L9" s="58">
        <f>K9</f>
        <v>1</v>
      </c>
      <c r="M9" s="92">
        <f>IF(K9="N/A","N/A",K9*$I$8*H9)</f>
        <v>10</v>
      </c>
    </row>
    <row r="10" spans="1:14" s="38" customFormat="1" ht="142" customHeight="1" outlineLevel="1">
      <c r="A10" s="46">
        <v>0</v>
      </c>
      <c r="B10" s="4">
        <v>1.1000000000000001</v>
      </c>
      <c r="C10" s="41" t="s">
        <v>70</v>
      </c>
      <c r="D10" s="36" t="s">
        <v>300</v>
      </c>
      <c r="E10" s="36" t="s">
        <v>301</v>
      </c>
      <c r="F10" s="36" t="s">
        <v>189</v>
      </c>
      <c r="G10" s="49" t="s">
        <v>61</v>
      </c>
      <c r="H10" s="93">
        <f t="shared" si="0"/>
        <v>8.3333333333333329E-2</v>
      </c>
      <c r="I10" s="49">
        <v>10</v>
      </c>
      <c r="K10" s="49">
        <f>IF(OR(L10=""),"",IF(AND(L10="N/A"),"N/A",AVERAGE(L10:L10)))</f>
        <v>3</v>
      </c>
      <c r="L10" s="44">
        <v>3</v>
      </c>
      <c r="M10" s="91">
        <f>IF(K10="N/A","N/A",K10/3*I10)</f>
        <v>10</v>
      </c>
    </row>
    <row r="11" spans="1:14" s="31" customFormat="1" ht="13">
      <c r="A11" s="46" t="s">
        <v>59</v>
      </c>
      <c r="B11" s="32">
        <v>2</v>
      </c>
      <c r="C11" s="106" t="s">
        <v>6</v>
      </c>
      <c r="D11" s="107"/>
      <c r="E11" s="107"/>
      <c r="F11" s="28"/>
      <c r="G11" s="86"/>
      <c r="H11" s="53">
        <f t="shared" si="0"/>
        <v>0.35833333333333334</v>
      </c>
      <c r="I11" s="50">
        <f>SUM(I12:I18)</f>
        <v>43</v>
      </c>
      <c r="K11" s="58">
        <f>IF(COUNTIF(K12:K18,"=N/A")=8,"N/A",IF(SUM(K12:K18)=0,0,((N(K12)*$H12)+(N(K13)*$H13)+(N(K14)*$H14)+(N(K15)*$H15)+(N(K16)*$H16)+(N(K17)*$H17)+(N(K18)*$H18))/(IF(K12="N/A",0,(3*$H12))+IF(K13="N/A",0,(3*$H13))+IF(K14="N/A",0,(3*$H14))+IF(K15="N/A",0,(3*$H15))+IF(K16="N/A",0,(3*$H16))+IF(K17="N/A",0,(3*$H17))+IF(K18="N/A",0,(3*$H18)))))</f>
        <v>1</v>
      </c>
      <c r="L11" s="58">
        <f>K11</f>
        <v>1</v>
      </c>
      <c r="M11" s="92">
        <f>IF(K11="N/A","N/A",K11*$I$8*H11)</f>
        <v>43</v>
      </c>
    </row>
    <row r="12" spans="1:14" s="38" customFormat="1" ht="130.5" customHeight="1" outlineLevel="1">
      <c r="A12" s="46"/>
      <c r="B12" s="33">
        <v>2.1</v>
      </c>
      <c r="C12" s="77" t="s">
        <v>71</v>
      </c>
      <c r="D12" s="36" t="s">
        <v>285</v>
      </c>
      <c r="E12" s="36" t="s">
        <v>286</v>
      </c>
      <c r="F12" s="36" t="s">
        <v>132</v>
      </c>
      <c r="G12" s="49" t="s">
        <v>68</v>
      </c>
      <c r="H12" s="93">
        <f t="shared" si="0"/>
        <v>7.4999999999999997E-2</v>
      </c>
      <c r="I12" s="49">
        <v>9</v>
      </c>
      <c r="K12" s="49">
        <f t="shared" ref="K12:K18" si="1">IF(OR(L12=""),"",IF(AND(L12="N/A"),"N/A",AVERAGE(L12:L12)))</f>
        <v>3</v>
      </c>
      <c r="L12" s="44">
        <v>3</v>
      </c>
      <c r="M12" s="91">
        <f t="shared" ref="M12:M18" si="2">IF(K12="N/A","N/A",K12/3*I12)</f>
        <v>9</v>
      </c>
    </row>
    <row r="13" spans="1:14" s="38" customFormat="1" ht="165.5" customHeight="1" outlineLevel="1">
      <c r="A13" s="45">
        <v>3</v>
      </c>
      <c r="B13" s="33">
        <v>2.2000000000000002</v>
      </c>
      <c r="C13" s="77" t="s">
        <v>129</v>
      </c>
      <c r="D13" s="37" t="s">
        <v>334</v>
      </c>
      <c r="E13" s="37" t="s">
        <v>335</v>
      </c>
      <c r="F13" s="36" t="s">
        <v>133</v>
      </c>
      <c r="G13" s="49" t="s">
        <v>61</v>
      </c>
      <c r="H13" s="93">
        <f t="shared" si="0"/>
        <v>2.5000000000000001E-2</v>
      </c>
      <c r="I13" s="49">
        <v>3</v>
      </c>
      <c r="K13" s="49">
        <f t="shared" si="1"/>
        <v>3</v>
      </c>
      <c r="L13" s="44">
        <v>3</v>
      </c>
      <c r="M13" s="91">
        <f t="shared" si="2"/>
        <v>3</v>
      </c>
    </row>
    <row r="14" spans="1:14" s="38" customFormat="1" ht="98" customHeight="1" outlineLevel="1">
      <c r="A14" s="46">
        <v>0</v>
      </c>
      <c r="B14" s="33">
        <v>2.2999999999999998</v>
      </c>
      <c r="C14" s="77" t="s">
        <v>72</v>
      </c>
      <c r="D14" s="36" t="s">
        <v>339</v>
      </c>
      <c r="E14" s="36" t="s">
        <v>287</v>
      </c>
      <c r="F14" s="36" t="s">
        <v>132</v>
      </c>
      <c r="G14" s="49" t="s">
        <v>61</v>
      </c>
      <c r="H14" s="93">
        <f t="shared" si="0"/>
        <v>2.5000000000000001E-2</v>
      </c>
      <c r="I14" s="49">
        <v>3</v>
      </c>
      <c r="K14" s="49">
        <f t="shared" si="1"/>
        <v>3</v>
      </c>
      <c r="L14" s="44">
        <v>3</v>
      </c>
      <c r="M14" s="91">
        <f t="shared" si="2"/>
        <v>3</v>
      </c>
    </row>
    <row r="15" spans="1:14" s="38" customFormat="1" ht="81" customHeight="1" outlineLevel="1">
      <c r="A15" s="46" t="s">
        <v>59</v>
      </c>
      <c r="B15" s="33">
        <v>2.4</v>
      </c>
      <c r="C15" s="60" t="s">
        <v>73</v>
      </c>
      <c r="D15" s="36" t="s">
        <v>190</v>
      </c>
      <c r="E15" s="36" t="s">
        <v>264</v>
      </c>
      <c r="F15" s="36" t="s">
        <v>131</v>
      </c>
      <c r="G15" s="49" t="s">
        <v>62</v>
      </c>
      <c r="H15" s="93">
        <f t="shared" si="0"/>
        <v>6.6666666666666666E-2</v>
      </c>
      <c r="I15" s="49">
        <v>8</v>
      </c>
      <c r="K15" s="49">
        <f t="shared" si="1"/>
        <v>3</v>
      </c>
      <c r="L15" s="44">
        <v>3</v>
      </c>
      <c r="M15" s="91">
        <f t="shared" si="2"/>
        <v>8</v>
      </c>
    </row>
    <row r="16" spans="1:14" s="38" customFormat="1" ht="78" customHeight="1" outlineLevel="1">
      <c r="A16" s="46"/>
      <c r="B16" s="33">
        <v>2.5</v>
      </c>
      <c r="C16" s="60" t="s">
        <v>74</v>
      </c>
      <c r="D16" s="36" t="s">
        <v>218</v>
      </c>
      <c r="E16" s="36" t="s">
        <v>265</v>
      </c>
      <c r="F16" s="36" t="s">
        <v>131</v>
      </c>
      <c r="G16" s="49" t="s">
        <v>62</v>
      </c>
      <c r="H16" s="93">
        <f t="shared" si="0"/>
        <v>6.6666666666666666E-2</v>
      </c>
      <c r="I16" s="49">
        <v>8</v>
      </c>
      <c r="K16" s="49">
        <f t="shared" si="1"/>
        <v>3</v>
      </c>
      <c r="L16" s="44">
        <v>3</v>
      </c>
      <c r="M16" s="91">
        <f t="shared" si="2"/>
        <v>8</v>
      </c>
    </row>
    <row r="17" spans="1:14" s="38" customFormat="1" ht="85.5" customHeight="1" outlineLevel="1">
      <c r="A17" s="46"/>
      <c r="B17" s="33">
        <v>2.6</v>
      </c>
      <c r="C17" s="77" t="s">
        <v>75</v>
      </c>
      <c r="D17" s="37" t="s">
        <v>288</v>
      </c>
      <c r="E17" s="36" t="s">
        <v>217</v>
      </c>
      <c r="F17" s="36" t="s">
        <v>131</v>
      </c>
      <c r="G17" s="49" t="s">
        <v>62</v>
      </c>
      <c r="H17" s="93">
        <f t="shared" si="0"/>
        <v>0.05</v>
      </c>
      <c r="I17" s="49">
        <v>6</v>
      </c>
      <c r="K17" s="49">
        <f t="shared" si="1"/>
        <v>3</v>
      </c>
      <c r="L17" s="44">
        <v>3</v>
      </c>
      <c r="M17" s="91">
        <f t="shared" si="2"/>
        <v>6</v>
      </c>
    </row>
    <row r="18" spans="1:14" s="38" customFormat="1" ht="85.5" customHeight="1" outlineLevel="1">
      <c r="A18" s="46" t="s">
        <v>59</v>
      </c>
      <c r="B18" s="33">
        <v>2.7</v>
      </c>
      <c r="C18" s="77" t="s">
        <v>76</v>
      </c>
      <c r="D18" s="37" t="s">
        <v>289</v>
      </c>
      <c r="E18" s="36" t="s">
        <v>191</v>
      </c>
      <c r="F18" s="36" t="s">
        <v>130</v>
      </c>
      <c r="G18" s="49" t="s">
        <v>62</v>
      </c>
      <c r="H18" s="93">
        <f t="shared" si="0"/>
        <v>0.05</v>
      </c>
      <c r="I18" s="49">
        <v>6</v>
      </c>
      <c r="K18" s="49">
        <f t="shared" si="1"/>
        <v>3</v>
      </c>
      <c r="L18" s="44">
        <v>3</v>
      </c>
      <c r="M18" s="91">
        <f t="shared" si="2"/>
        <v>6</v>
      </c>
    </row>
    <row r="19" spans="1:14" s="38" customFormat="1" ht="13">
      <c r="A19" s="31"/>
      <c r="B19" s="32">
        <v>3</v>
      </c>
      <c r="C19" s="106" t="s">
        <v>7</v>
      </c>
      <c r="D19" s="107"/>
      <c r="E19" s="107"/>
      <c r="F19" s="28"/>
      <c r="G19" s="86"/>
      <c r="H19" s="53">
        <f t="shared" si="0"/>
        <v>0.13333333333333333</v>
      </c>
      <c r="I19" s="50">
        <f>SUM(I20:I24)</f>
        <v>16</v>
      </c>
      <c r="J19" s="31"/>
      <c r="K19" s="58">
        <f>IF(COUNTIF(K20:K24,"=N/A")=5,"N/A",IF(SUM(K20:K24)=0,0,((N(K20)*$H20)+(N(K21)*$H21)+(N(K22)*$H22)+(N(K23)*$H23))+(N(K24)*$H24))/(IF(K20="N/A",0,(3*$H20))+IF(K21="N/A",0,(3*$H21))+IF(K22="N/A",0,(3*$H22))+IF(K23="N/A",0,(3*$H23))+IF(K24="N/A",0,(3*$H24))))</f>
        <v>1</v>
      </c>
      <c r="L19" s="58">
        <f>K19</f>
        <v>1</v>
      </c>
      <c r="M19" s="92">
        <f>IF(K19="N/A","N/A",K19*$I$8*H19)</f>
        <v>16</v>
      </c>
      <c r="N19" s="31"/>
    </row>
    <row r="20" spans="1:14" s="31" customFormat="1" ht="70.5" customHeight="1" outlineLevel="1">
      <c r="A20" s="38"/>
      <c r="B20" s="33">
        <v>3.1</v>
      </c>
      <c r="C20" s="60" t="s">
        <v>77</v>
      </c>
      <c r="D20" s="36" t="s">
        <v>221</v>
      </c>
      <c r="E20" s="36" t="s">
        <v>219</v>
      </c>
      <c r="F20" s="36" t="s">
        <v>151</v>
      </c>
      <c r="G20" s="49" t="s">
        <v>68</v>
      </c>
      <c r="H20" s="93">
        <f t="shared" si="0"/>
        <v>3.3333333333333333E-2</v>
      </c>
      <c r="I20" s="49">
        <v>4</v>
      </c>
      <c r="J20" s="38"/>
      <c r="K20" s="49">
        <f>IF(OR(L20=""),"",IF(AND(L20="N/A"),"N/A",AVERAGE(L20:L20)))</f>
        <v>3</v>
      </c>
      <c r="L20" s="44">
        <v>3</v>
      </c>
      <c r="M20" s="91">
        <f>IF(K20="N/A","N/A",K20/3*I20)</f>
        <v>4</v>
      </c>
      <c r="N20" s="38"/>
    </row>
    <row r="21" spans="1:14" ht="78.650000000000006" customHeight="1" outlineLevel="1">
      <c r="A21" s="38"/>
      <c r="B21" s="33">
        <v>3.2</v>
      </c>
      <c r="C21" s="60" t="s">
        <v>78</v>
      </c>
      <c r="D21" s="36" t="s">
        <v>222</v>
      </c>
      <c r="E21" s="36" t="s">
        <v>220</v>
      </c>
      <c r="F21" s="36" t="s">
        <v>151</v>
      </c>
      <c r="G21" s="49" t="s">
        <v>62</v>
      </c>
      <c r="H21" s="93">
        <f t="shared" si="0"/>
        <v>1.6666666666666666E-2</v>
      </c>
      <c r="I21" s="49">
        <v>2</v>
      </c>
      <c r="J21" s="38"/>
      <c r="K21" s="49">
        <f>IF(OR(L21=""),"",IF(AND(L21="N/A"),"N/A",AVERAGE(L21:L21)))</f>
        <v>3</v>
      </c>
      <c r="L21" s="44">
        <v>3</v>
      </c>
      <c r="M21" s="91">
        <f>IF(K21="N/A","N/A",K21/3*I21)</f>
        <v>2</v>
      </c>
      <c r="N21" s="38"/>
    </row>
    <row r="22" spans="1:14" ht="75.650000000000006" customHeight="1" outlineLevel="1">
      <c r="A22" s="38"/>
      <c r="B22" s="33">
        <v>3.3</v>
      </c>
      <c r="C22" s="77" t="s">
        <v>79</v>
      </c>
      <c r="D22" s="36" t="s">
        <v>234</v>
      </c>
      <c r="E22" s="36" t="s">
        <v>224</v>
      </c>
      <c r="F22" s="36" t="s">
        <v>151</v>
      </c>
      <c r="G22" s="49" t="s">
        <v>62</v>
      </c>
      <c r="H22" s="93">
        <f t="shared" si="0"/>
        <v>3.3333333333333333E-2</v>
      </c>
      <c r="I22" s="49">
        <v>4</v>
      </c>
      <c r="J22" s="38"/>
      <c r="K22" s="49">
        <f>IF(OR(L22=""),"",IF(AND(L22="N/A"),"N/A",AVERAGE(L22:L22)))</f>
        <v>3</v>
      </c>
      <c r="L22" s="44">
        <v>3</v>
      </c>
      <c r="M22" s="91">
        <f>IF(K22="N/A","N/A",K22/3*I22)</f>
        <v>4</v>
      </c>
      <c r="N22" s="38"/>
    </row>
    <row r="23" spans="1:14" ht="71.5" customHeight="1" outlineLevel="1">
      <c r="A23" s="38"/>
      <c r="B23" s="33">
        <v>3.4</v>
      </c>
      <c r="C23" s="77" t="s">
        <v>80</v>
      </c>
      <c r="D23" s="36" t="s">
        <v>235</v>
      </c>
      <c r="E23" s="36" t="s">
        <v>223</v>
      </c>
      <c r="F23" s="36" t="s">
        <v>153</v>
      </c>
      <c r="G23" s="49" t="s">
        <v>68</v>
      </c>
      <c r="H23" s="93">
        <f t="shared" si="0"/>
        <v>1.6666666666666666E-2</v>
      </c>
      <c r="I23" s="49">
        <v>2</v>
      </c>
      <c r="J23" s="38"/>
      <c r="K23" s="49">
        <f>IF(OR(L23=""),"",IF(AND(L23="N/A"),"N/A",AVERAGE(L23:L23)))</f>
        <v>3</v>
      </c>
      <c r="L23" s="44">
        <v>3</v>
      </c>
      <c r="M23" s="91">
        <f>IF(K23="N/A","N/A",K23/3*I23)</f>
        <v>2</v>
      </c>
      <c r="N23" s="38"/>
    </row>
    <row r="24" spans="1:14" ht="74.5" customHeight="1" outlineLevel="1">
      <c r="A24" s="38"/>
      <c r="B24" s="33">
        <v>3.5</v>
      </c>
      <c r="C24" s="77" t="s">
        <v>290</v>
      </c>
      <c r="D24" s="36" t="s">
        <v>291</v>
      </c>
      <c r="E24" s="36" t="s">
        <v>240</v>
      </c>
      <c r="F24" s="36" t="s">
        <v>152</v>
      </c>
      <c r="G24" s="49" t="s">
        <v>68</v>
      </c>
      <c r="H24" s="93">
        <f t="shared" si="0"/>
        <v>3.3333333333333333E-2</v>
      </c>
      <c r="I24" s="49">
        <v>4</v>
      </c>
      <c r="J24" s="38"/>
      <c r="K24" s="49">
        <f>IF(OR(L24=""),"",IF(AND(L24="N/A"),"N/A",AVERAGE(L24:L24)))</f>
        <v>3</v>
      </c>
      <c r="L24" s="44">
        <v>3</v>
      </c>
      <c r="M24" s="91">
        <f>IF(K24="N/A","N/A",K24/3*I24)</f>
        <v>4</v>
      </c>
      <c r="N24" s="38"/>
    </row>
    <row r="25" spans="1:14">
      <c r="A25" s="38"/>
      <c r="B25" s="32">
        <v>4</v>
      </c>
      <c r="C25" s="106" t="s">
        <v>8</v>
      </c>
      <c r="D25" s="107"/>
      <c r="E25" s="107"/>
      <c r="F25" s="95"/>
      <c r="G25" s="86"/>
      <c r="H25" s="53">
        <f t="shared" si="0"/>
        <v>0.15</v>
      </c>
      <c r="I25" s="50">
        <f>SUM(I26:I28)</f>
        <v>18</v>
      </c>
      <c r="J25" s="31"/>
      <c r="K25" s="58">
        <f>IF(COUNTIF(K26:K28,"=N/A")=3,"N/A",IF(SUM(K26:K28)=0,0,((N(K26)*$H26)+(N(K27)*$H27)+(N(K28)*$H28)))/(IF(K26="N/A",0,(3*$H26))+IF(K27="N/A",0,(3*$H27))+IF(K28="N/A",0,(3*$H28))))</f>
        <v>1</v>
      </c>
      <c r="L25" s="58">
        <f>K25</f>
        <v>1</v>
      </c>
      <c r="M25" s="92">
        <f>IF(K25="N/A","N/A",K25*$I$8*H25)</f>
        <v>18</v>
      </c>
      <c r="N25" s="31"/>
    </row>
    <row r="26" spans="1:14" s="31" customFormat="1" ht="65.150000000000006" customHeight="1" outlineLevel="1">
      <c r="A26" s="38"/>
      <c r="B26" s="33">
        <v>4.0999999999999996</v>
      </c>
      <c r="C26" s="60" t="s">
        <v>81</v>
      </c>
      <c r="D26" s="36" t="s">
        <v>236</v>
      </c>
      <c r="E26" s="36" t="s">
        <v>227</v>
      </c>
      <c r="F26" s="36" t="s">
        <v>262</v>
      </c>
      <c r="G26" s="49" t="s">
        <v>68</v>
      </c>
      <c r="H26" s="93">
        <f t="shared" si="0"/>
        <v>6.6666666666666666E-2</v>
      </c>
      <c r="I26" s="49">
        <v>8</v>
      </c>
      <c r="J26" s="38"/>
      <c r="K26" s="49">
        <f>IF(OR(L26=""),"",IF(AND(L26="N/A"),"N/A",AVERAGE(L26:L26)))</f>
        <v>3</v>
      </c>
      <c r="L26" s="44">
        <v>3</v>
      </c>
      <c r="M26" s="91">
        <f>IF(K26="N/A","N/A",K26/3*I26)</f>
        <v>8</v>
      </c>
      <c r="N26" s="38"/>
    </row>
    <row r="27" spans="1:14" s="38" customFormat="1" ht="65.150000000000006" customHeight="1" outlineLevel="1">
      <c r="B27" s="33">
        <v>4.2</v>
      </c>
      <c r="C27" s="60" t="s">
        <v>82</v>
      </c>
      <c r="D27" s="36" t="s">
        <v>237</v>
      </c>
      <c r="E27" s="36" t="s">
        <v>228</v>
      </c>
      <c r="F27" s="36" t="s">
        <v>263</v>
      </c>
      <c r="G27" s="49" t="s">
        <v>62</v>
      </c>
      <c r="H27" s="93">
        <f t="shared" si="0"/>
        <v>0.05</v>
      </c>
      <c r="I27" s="49">
        <v>6</v>
      </c>
      <c r="K27" s="49">
        <f>IF(OR(L27=""),"",IF(AND(L27="N/A"),"N/A",AVERAGE(L27:L27)))</f>
        <v>3</v>
      </c>
      <c r="L27" s="44">
        <v>3</v>
      </c>
      <c r="M27" s="91">
        <f>IF(K27="N/A","N/A",K27/3*I27)</f>
        <v>6</v>
      </c>
    </row>
    <row r="28" spans="1:14" s="38" customFormat="1" ht="65.150000000000006" customHeight="1" outlineLevel="1">
      <c r="B28" s="33">
        <v>4.3</v>
      </c>
      <c r="C28" s="60" t="s">
        <v>83</v>
      </c>
      <c r="D28" s="36" t="s">
        <v>238</v>
      </c>
      <c r="E28" s="36" t="s">
        <v>229</v>
      </c>
      <c r="F28" s="36" t="s">
        <v>263</v>
      </c>
      <c r="G28" s="49" t="s">
        <v>62</v>
      </c>
      <c r="H28" s="93">
        <f t="shared" si="0"/>
        <v>3.3333333333333333E-2</v>
      </c>
      <c r="I28" s="49">
        <v>4</v>
      </c>
      <c r="K28" s="49">
        <f>IF(OR(L28=""),"",IF(AND(L28="N/A"),"N/A",AVERAGE(L28:L28)))</f>
        <v>3</v>
      </c>
      <c r="L28" s="44">
        <v>3</v>
      </c>
      <c r="M28" s="91">
        <f>IF(K28="N/A","N/A",K28/3*I28)</f>
        <v>4</v>
      </c>
    </row>
    <row r="29" spans="1:14" s="38" customFormat="1" ht="13">
      <c r="B29" s="32">
        <v>5</v>
      </c>
      <c r="C29" s="106" t="s">
        <v>9</v>
      </c>
      <c r="D29" s="107"/>
      <c r="E29" s="107"/>
      <c r="F29" s="95"/>
      <c r="G29" s="86"/>
      <c r="H29" s="53">
        <f t="shared" si="0"/>
        <v>0.27500000000000002</v>
      </c>
      <c r="I29" s="50">
        <f>SUM(I30:I35)</f>
        <v>33</v>
      </c>
      <c r="J29" s="31"/>
      <c r="K29" s="58">
        <f>IF(COUNTIF(K30:K35,"=N/A")=5,"N/A",IF(SUM(K30:K35)=0,0,((N(K30)*$H30)+(N(K32)*$H32)+(N(K33)*$H33)+(N(K34)*$H34))+(N(K35)*$H35))/(IF(K30="N/A",0,(3*$H30))+IF(K32="N/A",0,(3*$H32))+IF(K33="N/A",0,(3*$H33))+IF(K34="N/A",0,(3*$H34))+IF(K35="N/A",0,(3*$H35))))</f>
        <v>1</v>
      </c>
      <c r="L29" s="58">
        <f>K29</f>
        <v>1</v>
      </c>
      <c r="M29" s="92">
        <f>IF(K29="N/A","N/A",K29*$I$8*H29)</f>
        <v>33</v>
      </c>
      <c r="N29" s="31"/>
    </row>
    <row r="30" spans="1:14" s="31" customFormat="1" ht="70" customHeight="1" outlineLevel="1">
      <c r="B30" s="33">
        <v>5.0999999999999996</v>
      </c>
      <c r="C30" s="60" t="s">
        <v>210</v>
      </c>
      <c r="D30" s="36" t="s">
        <v>225</v>
      </c>
      <c r="E30" s="36" t="s">
        <v>230</v>
      </c>
      <c r="F30" s="36" t="s">
        <v>154</v>
      </c>
      <c r="G30" s="49" t="s">
        <v>68</v>
      </c>
      <c r="H30" s="93">
        <f t="shared" si="0"/>
        <v>5.8333333333333334E-2</v>
      </c>
      <c r="I30" s="49">
        <v>7</v>
      </c>
      <c r="J30" s="38"/>
      <c r="K30" s="49">
        <f t="shared" ref="K30:K35" si="3">IF(OR(L30=""),"",IF(AND(L30="N/A"),"N/A",AVERAGE(L30:L30)))</f>
        <v>3</v>
      </c>
      <c r="L30" s="44">
        <v>3</v>
      </c>
      <c r="M30" s="91">
        <f t="shared" ref="M30:M35" si="4">IF(K30="N/A","N/A",K30/3*I30)</f>
        <v>7</v>
      </c>
      <c r="N30" s="38"/>
    </row>
    <row r="31" spans="1:14" s="31" customFormat="1" ht="66.650000000000006" customHeight="1" outlineLevel="1">
      <c r="A31" s="38"/>
      <c r="B31" s="33">
        <v>5.2</v>
      </c>
      <c r="C31" s="60" t="s">
        <v>211</v>
      </c>
      <c r="D31" s="36" t="s">
        <v>226</v>
      </c>
      <c r="E31" s="36" t="s">
        <v>231</v>
      </c>
      <c r="F31" s="36" t="s">
        <v>154</v>
      </c>
      <c r="G31" s="49" t="s">
        <v>68</v>
      </c>
      <c r="H31" s="93">
        <f t="shared" si="0"/>
        <v>4.1666666666666664E-2</v>
      </c>
      <c r="I31" s="49">
        <v>5</v>
      </c>
      <c r="J31" s="38"/>
      <c r="K31" s="49">
        <f t="shared" si="3"/>
        <v>3</v>
      </c>
      <c r="L31" s="44">
        <v>3</v>
      </c>
      <c r="M31" s="91">
        <f t="shared" si="4"/>
        <v>5</v>
      </c>
      <c r="N31" s="38"/>
    </row>
    <row r="32" spans="1:14" s="38" customFormat="1" ht="73" customHeight="1" outlineLevel="1">
      <c r="A32" s="31"/>
      <c r="B32" s="33">
        <v>5.3</v>
      </c>
      <c r="C32" s="60" t="s">
        <v>84</v>
      </c>
      <c r="D32" s="36" t="s">
        <v>187</v>
      </c>
      <c r="E32" s="36" t="s">
        <v>232</v>
      </c>
      <c r="F32" s="36" t="s">
        <v>134</v>
      </c>
      <c r="G32" s="49" t="s">
        <v>62</v>
      </c>
      <c r="H32" s="93">
        <f t="shared" si="0"/>
        <v>2.5000000000000001E-2</v>
      </c>
      <c r="I32" s="49">
        <v>3</v>
      </c>
      <c r="K32" s="49">
        <f t="shared" si="3"/>
        <v>3</v>
      </c>
      <c r="L32" s="44">
        <v>3</v>
      </c>
      <c r="M32" s="91">
        <f t="shared" si="4"/>
        <v>3</v>
      </c>
    </row>
    <row r="33" spans="1:14" s="38" customFormat="1" ht="60.65" customHeight="1" outlineLevel="1">
      <c r="B33" s="33">
        <v>5.4</v>
      </c>
      <c r="C33" s="60" t="s">
        <v>188</v>
      </c>
      <c r="D33" s="36" t="s">
        <v>309</v>
      </c>
      <c r="E33" s="36" t="s">
        <v>266</v>
      </c>
      <c r="F33" s="36" t="s">
        <v>155</v>
      </c>
      <c r="G33" s="49" t="s">
        <v>68</v>
      </c>
      <c r="H33" s="93">
        <f t="shared" si="0"/>
        <v>0.05</v>
      </c>
      <c r="I33" s="49">
        <v>6</v>
      </c>
      <c r="K33" s="49">
        <f t="shared" si="3"/>
        <v>3</v>
      </c>
      <c r="L33" s="44">
        <v>3</v>
      </c>
      <c r="M33" s="49">
        <f t="shared" si="4"/>
        <v>6</v>
      </c>
    </row>
    <row r="34" spans="1:14" s="38" customFormat="1" ht="68.5" customHeight="1" outlineLevel="1">
      <c r="A34" s="31"/>
      <c r="B34" s="33">
        <v>5.5</v>
      </c>
      <c r="C34" s="60" t="s">
        <v>85</v>
      </c>
      <c r="D34" s="36" t="s">
        <v>239</v>
      </c>
      <c r="E34" s="36" t="s">
        <v>304</v>
      </c>
      <c r="F34" s="36" t="s">
        <v>155</v>
      </c>
      <c r="G34" s="49" t="s">
        <v>68</v>
      </c>
      <c r="H34" s="93">
        <f t="shared" si="0"/>
        <v>0.05</v>
      </c>
      <c r="I34" s="49">
        <v>6</v>
      </c>
      <c r="K34" s="49">
        <f t="shared" si="3"/>
        <v>3</v>
      </c>
      <c r="L34" s="44">
        <v>3</v>
      </c>
      <c r="M34" s="49">
        <f t="shared" si="4"/>
        <v>6</v>
      </c>
    </row>
    <row r="35" spans="1:14" s="31" customFormat="1" ht="65.150000000000006" customHeight="1" outlineLevel="1">
      <c r="A35" s="38"/>
      <c r="B35" s="33">
        <v>5.6</v>
      </c>
      <c r="C35" s="60" t="s">
        <v>207</v>
      </c>
      <c r="D35" s="36" t="s">
        <v>313</v>
      </c>
      <c r="E35" s="36" t="s">
        <v>233</v>
      </c>
      <c r="F35" s="36" t="s">
        <v>135</v>
      </c>
      <c r="G35" s="49" t="s">
        <v>68</v>
      </c>
      <c r="H35" s="93">
        <f t="shared" si="0"/>
        <v>0.05</v>
      </c>
      <c r="I35" s="49">
        <v>6</v>
      </c>
      <c r="J35" s="38"/>
      <c r="K35" s="49">
        <f t="shared" si="3"/>
        <v>3</v>
      </c>
      <c r="L35" s="44">
        <v>3</v>
      </c>
      <c r="M35" s="49">
        <f t="shared" si="4"/>
        <v>6</v>
      </c>
      <c r="N35" s="38"/>
    </row>
    <row r="36" spans="1:14" s="38" customFormat="1">
      <c r="B36" s="67"/>
      <c r="C36"/>
      <c r="D36"/>
      <c r="E36"/>
      <c r="F36" s="66"/>
      <c r="G36" s="67"/>
      <c r="H36" s="67"/>
      <c r="I36" s="67"/>
      <c r="J36"/>
      <c r="K36"/>
      <c r="L36"/>
      <c r="M36"/>
      <c r="N36"/>
    </row>
    <row r="37" spans="1:14" s="38" customFormat="1">
      <c r="A37" s="31"/>
      <c r="B37" s="67"/>
      <c r="C37"/>
      <c r="D37"/>
      <c r="E37"/>
      <c r="F37" s="66"/>
      <c r="G37" s="67"/>
      <c r="H37" s="67"/>
      <c r="I37" s="67"/>
      <c r="J37"/>
      <c r="K37"/>
      <c r="L37"/>
      <c r="M37"/>
      <c r="N37"/>
    </row>
    <row r="38" spans="1:14" s="38" customFormat="1" hidden="1">
      <c r="A38" s="31"/>
      <c r="B38" s="67"/>
      <c r="C38"/>
      <c r="D38"/>
      <c r="E38"/>
      <c r="F38" s="66"/>
      <c r="G38" s="67"/>
      <c r="H38" s="67"/>
      <c r="I38" s="67"/>
      <c r="J38"/>
      <c r="K38"/>
      <c r="L38"/>
      <c r="M38"/>
      <c r="N38"/>
    </row>
    <row r="39" spans="1:14" hidden="1">
      <c r="A39" s="38"/>
      <c r="I39" s="67"/>
    </row>
    <row r="40" spans="1:14" hidden="1">
      <c r="A40" s="38"/>
      <c r="I40" s="67"/>
    </row>
    <row r="41" spans="1:14" hidden="1">
      <c r="I41" s="67"/>
    </row>
    <row r="42" spans="1:14" hidden="1">
      <c r="I42" s="67"/>
    </row>
    <row r="43" spans="1:14" hidden="1">
      <c r="I43" s="67"/>
    </row>
    <row r="44" spans="1:14" hidden="1"/>
    <row r="45" spans="1:14" hidden="1"/>
    <row r="46" spans="1:14" hidden="1"/>
    <row r="47" spans="1:14" hidden="1"/>
    <row r="48" spans="1:14" hidden="1"/>
    <row r="49" hidden="1"/>
    <row r="50" hidden="1"/>
    <row r="51" hidden="1"/>
    <row r="52" hidden="1"/>
  </sheetData>
  <mergeCells count="6">
    <mergeCell ref="C29:E29"/>
    <mergeCell ref="K6:M6"/>
    <mergeCell ref="C9:E9"/>
    <mergeCell ref="C11:E11"/>
    <mergeCell ref="C19:E19"/>
    <mergeCell ref="C25:E25"/>
  </mergeCells>
  <dataValidations count="2">
    <dataValidation type="list" allowBlank="1" showInputMessage="1" showErrorMessage="1" sqref="L10" xr:uid="{00000000-0002-0000-0200-000000000000}">
      <formula1>$A$13:$A$15</formula1>
    </dataValidation>
    <dataValidation type="list" allowBlank="1" showInputMessage="1" showErrorMessage="1" sqref="L12:L18 L30:L35 L26:L28 L20:L24" xr:uid="{00000000-0002-0000-0200-000001000000}">
      <formula1>$A$8:$A$11</formula1>
    </dataValidation>
  </dataValidations>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N48"/>
  <sheetViews>
    <sheetView showGridLines="0" showRowColHeaders="0" tabSelected="1" zoomScale="60" zoomScaleNormal="60" workbookViewId="0">
      <selection activeCell="B8" sqref="B8"/>
    </sheetView>
  </sheetViews>
  <sheetFormatPr defaultColWidth="0" defaultRowHeight="14.5" zeroHeight="1" outlineLevelRow="1"/>
  <cols>
    <col min="1" max="1" width="1.54296875" style="30" customWidth="1"/>
    <col min="2" max="2" width="5.54296875" style="67" customWidth="1"/>
    <col min="3" max="3" width="20.54296875" customWidth="1"/>
    <col min="4" max="5" width="75.54296875" customWidth="1"/>
    <col min="6" max="6" width="26.81640625" style="66" customWidth="1"/>
    <col min="7" max="7" width="12.81640625" customWidth="1"/>
    <col min="8" max="9" width="8.81640625" customWidth="1"/>
    <col min="10" max="10" width="1.54296875" customWidth="1"/>
    <col min="11" max="12" width="8.81640625" style="30" customWidth="1"/>
    <col min="13" max="13" width="9.81640625" style="30" customWidth="1"/>
    <col min="14" max="14" width="1.54296875" customWidth="1"/>
    <col min="15" max="16384" width="8.81640625" hidden="1"/>
  </cols>
  <sheetData>
    <row r="1" spans="1:14"/>
    <row r="2" spans="1:14">
      <c r="A2" s="78"/>
      <c r="B2" s="65"/>
      <c r="C2" s="31"/>
      <c r="D2" s="31"/>
      <c r="E2" s="31"/>
      <c r="M2" s="30" t="s">
        <v>60</v>
      </c>
    </row>
    <row r="3" spans="1:14">
      <c r="A3" s="78"/>
      <c r="B3" s="68"/>
      <c r="C3" s="2"/>
      <c r="D3" s="2"/>
      <c r="E3" s="2"/>
      <c r="F3" s="24"/>
      <c r="G3" s="69"/>
      <c r="H3" s="69"/>
      <c r="I3" s="69"/>
      <c r="K3" s="42"/>
      <c r="L3" s="42"/>
      <c r="M3" s="42"/>
    </row>
    <row r="4" spans="1:14">
      <c r="A4" s="78"/>
      <c r="B4" s="68"/>
      <c r="C4" s="2"/>
      <c r="D4" s="2"/>
      <c r="E4" s="2"/>
      <c r="F4" s="24"/>
      <c r="G4" s="69"/>
      <c r="H4" s="69"/>
      <c r="I4" s="69"/>
      <c r="K4" s="42"/>
      <c r="L4" s="42"/>
      <c r="M4" s="42"/>
    </row>
    <row r="5" spans="1:14">
      <c r="A5" s="78"/>
      <c r="B5" s="68"/>
      <c r="C5" s="2"/>
      <c r="D5" s="2"/>
      <c r="E5" s="2"/>
      <c r="F5" s="24"/>
      <c r="G5" s="69"/>
      <c r="H5" s="69"/>
      <c r="I5" s="69"/>
      <c r="K5" s="42"/>
      <c r="L5" s="42"/>
      <c r="M5" s="42"/>
    </row>
    <row r="6" spans="1:14">
      <c r="A6" s="78"/>
      <c r="B6" s="68"/>
      <c r="C6" s="2"/>
      <c r="D6" s="2"/>
      <c r="E6" s="2"/>
      <c r="F6" s="24"/>
      <c r="G6" s="69"/>
      <c r="H6" s="69"/>
      <c r="I6" s="69"/>
      <c r="K6" s="105" t="s">
        <v>55</v>
      </c>
      <c r="L6" s="105"/>
      <c r="M6" s="105"/>
    </row>
    <row r="7" spans="1:14" ht="26">
      <c r="A7" s="45"/>
      <c r="B7" s="76" t="s">
        <v>0</v>
      </c>
      <c r="C7" s="76" t="s">
        <v>1</v>
      </c>
      <c r="D7" s="76" t="s">
        <v>2</v>
      </c>
      <c r="E7" s="76" t="s">
        <v>3</v>
      </c>
      <c r="F7" s="76" t="s">
        <v>128</v>
      </c>
      <c r="G7" s="6" t="s">
        <v>52</v>
      </c>
      <c r="H7" s="76" t="s">
        <v>53</v>
      </c>
      <c r="I7" s="43" t="s">
        <v>54</v>
      </c>
      <c r="K7" s="98" t="s">
        <v>56</v>
      </c>
      <c r="L7" s="98" t="s">
        <v>57</v>
      </c>
      <c r="M7" s="98" t="s">
        <v>58</v>
      </c>
    </row>
    <row r="8" spans="1:14" ht="14.5" customHeight="1">
      <c r="A8" s="45">
        <v>3</v>
      </c>
      <c r="B8" s="18" t="s">
        <v>45</v>
      </c>
      <c r="C8" s="18"/>
      <c r="D8" s="18"/>
      <c r="E8" s="18"/>
      <c r="F8" s="18"/>
      <c r="G8" s="18"/>
      <c r="H8" s="52">
        <f>SUM(H9,H19,H22,H30,H34,H38)</f>
        <v>1</v>
      </c>
      <c r="I8" s="51">
        <f>SUM(I9,I19,I22,I30,I34,I38)</f>
        <v>180</v>
      </c>
      <c r="K8" s="52">
        <f>SUM(M9,M19,M22,M30,M34,M38)/((I8-IF(K9="N/A",I9,0)-IF(K19="N/A",I19,0)-IF(K22="N/A",I22,0)-IF(K30="N/A",I30,0)-IF(K34="N/A",I34,0)-IF(K38="N/A",I38,0)))</f>
        <v>1</v>
      </c>
      <c r="L8" s="52">
        <f>K8</f>
        <v>1</v>
      </c>
      <c r="M8" s="59">
        <f>K8*I8</f>
        <v>180</v>
      </c>
    </row>
    <row r="9" spans="1:14" s="1" customFormat="1" ht="13">
      <c r="A9" s="45">
        <v>1</v>
      </c>
      <c r="B9" s="32">
        <v>1</v>
      </c>
      <c r="C9" s="106" t="s">
        <v>46</v>
      </c>
      <c r="D9" s="107"/>
      <c r="E9" s="107"/>
      <c r="F9" s="28"/>
      <c r="G9" s="28"/>
      <c r="H9" s="53">
        <f>I9/$I$8</f>
        <v>0.3</v>
      </c>
      <c r="I9" s="50">
        <f>SUM(I10:I18)</f>
        <v>54</v>
      </c>
      <c r="J9" s="31"/>
      <c r="K9" s="58">
        <f>IF(COUNTIF(K10:K18,"=N/A")=9,"N/A",IF(SUM(K10:K18)=0,0,((N(K10)*$H10)+(N(K11)*$H11)+(N(K12)*$H12)+(N(K13)*$H13)+(N(K14)*$H14)+(N(K15)*$H15)+(N(K16)*$H16)+(N(K17)*$H17)+(N(K18)*$H18))/(IF(K10="N/A",0,(3*$H10))+IF(K11="N/A",0,(3*$H11))+IF(K12="N/A",0,(3*$H12))+IF(K13="N/A",0,(3*$H13))+IF(K14="N/A",0,(3*$H14))+IF(K15="N/A",0,(3*$H15))+IF(K16="N/A",0,(3*$H16))+IF(K17="N/A",0,(3*$H17))+IF(K18="N/A",0,(3*$H18)))))</f>
        <v>1</v>
      </c>
      <c r="L9" s="58">
        <f>K9</f>
        <v>1</v>
      </c>
      <c r="M9" s="92">
        <f>IF(K9="N/A","N/A",K9*$I$8*H9)</f>
        <v>54</v>
      </c>
      <c r="N9" s="31"/>
    </row>
    <row r="10" spans="1:14" s="26" customFormat="1" ht="76" customHeight="1" outlineLevel="1">
      <c r="A10" s="46">
        <v>0</v>
      </c>
      <c r="B10" s="33">
        <v>1.1000000000000001</v>
      </c>
      <c r="C10" s="73" t="s">
        <v>86</v>
      </c>
      <c r="D10" s="35" t="s">
        <v>274</v>
      </c>
      <c r="E10" s="36" t="s">
        <v>273</v>
      </c>
      <c r="F10" s="36" t="s">
        <v>180</v>
      </c>
      <c r="G10" s="49" t="s">
        <v>63</v>
      </c>
      <c r="H10" s="56">
        <f>I10/$I$8</f>
        <v>2.2222222222222223E-2</v>
      </c>
      <c r="I10" s="49">
        <v>4</v>
      </c>
      <c r="J10" s="38"/>
      <c r="K10" s="49">
        <f>IF(OR(L10=""),"",IF(AND(L10="N/A"),"N/A",AVERAGE(L10:L10)))</f>
        <v>3</v>
      </c>
      <c r="L10" s="44">
        <v>3</v>
      </c>
      <c r="M10" s="91">
        <f t="shared" ref="M10:M18" si="0">IF(K10="N/A","N/A",K10/3*I10)</f>
        <v>4</v>
      </c>
      <c r="N10" s="38"/>
    </row>
    <row r="11" spans="1:14" s="1" customFormat="1" ht="130" customHeight="1" outlineLevel="1">
      <c r="A11" s="46" t="s">
        <v>59</v>
      </c>
      <c r="B11" s="33">
        <v>1.2</v>
      </c>
      <c r="C11" s="73" t="s">
        <v>69</v>
      </c>
      <c r="D11" s="36" t="s">
        <v>295</v>
      </c>
      <c r="E11" s="36" t="s">
        <v>294</v>
      </c>
      <c r="F11" s="36" t="s">
        <v>180</v>
      </c>
      <c r="G11" s="49" t="s">
        <v>63</v>
      </c>
      <c r="H11" s="56">
        <f>I11/$I$8</f>
        <v>3.3333333333333333E-2</v>
      </c>
      <c r="I11" s="49">
        <v>6</v>
      </c>
      <c r="J11" s="31"/>
      <c r="K11" s="49">
        <f>IF(OR(L11=""),"",IF(AND(L11="N/A"),"N/A",AVERAGE(L11:L11)))</f>
        <v>3</v>
      </c>
      <c r="L11" s="44">
        <v>3</v>
      </c>
      <c r="M11" s="91">
        <f t="shared" si="0"/>
        <v>6</v>
      </c>
      <c r="N11" s="31"/>
    </row>
    <row r="12" spans="1:14" s="26" customFormat="1" ht="116.5" customHeight="1" outlineLevel="1">
      <c r="A12" s="46"/>
      <c r="B12" s="33">
        <v>1.3</v>
      </c>
      <c r="C12" s="73" t="s">
        <v>87</v>
      </c>
      <c r="D12" s="34" t="s">
        <v>298</v>
      </c>
      <c r="E12" s="36" t="s">
        <v>299</v>
      </c>
      <c r="F12" s="36" t="s">
        <v>136</v>
      </c>
      <c r="G12" s="49" t="s">
        <v>63</v>
      </c>
      <c r="H12" s="56">
        <f>I12/$I$8</f>
        <v>2.7777777777777776E-2</v>
      </c>
      <c r="I12" s="49">
        <v>5</v>
      </c>
      <c r="J12" s="38"/>
      <c r="K12" s="49">
        <f>IF(OR(L12=""),"",IF(AND(L12="N/A"),"N/A",AVERAGE(L12:L12)))</f>
        <v>3</v>
      </c>
      <c r="L12" s="44">
        <v>3</v>
      </c>
      <c r="M12" s="91">
        <f t="shared" si="0"/>
        <v>5</v>
      </c>
      <c r="N12" s="38"/>
    </row>
    <row r="13" spans="1:14" s="26" customFormat="1" ht="79.5" customHeight="1" outlineLevel="1">
      <c r="A13" s="45">
        <v>3</v>
      </c>
      <c r="B13" s="33">
        <v>1.4</v>
      </c>
      <c r="C13" s="73" t="s">
        <v>88</v>
      </c>
      <c r="D13" s="36" t="s">
        <v>259</v>
      </c>
      <c r="E13" s="36" t="s">
        <v>181</v>
      </c>
      <c r="F13" s="36" t="s">
        <v>182</v>
      </c>
      <c r="G13" s="49" t="s">
        <v>63</v>
      </c>
      <c r="H13" s="56">
        <f t="shared" ref="H13:H18" si="1">I13/$I$8</f>
        <v>3.888888888888889E-2</v>
      </c>
      <c r="I13" s="49">
        <v>7</v>
      </c>
      <c r="J13" s="38"/>
      <c r="K13" s="49">
        <f t="shared" ref="K13:K18" si="2">IF(OR(L13=""),"",IF(AND(L13="N/A"),"N/A",AVERAGE(L13:L13)))</f>
        <v>3</v>
      </c>
      <c r="L13" s="44">
        <v>3</v>
      </c>
      <c r="M13" s="91">
        <f t="shared" si="0"/>
        <v>7</v>
      </c>
      <c r="N13" s="38"/>
    </row>
    <row r="14" spans="1:14" s="26" customFormat="1" ht="103.5" customHeight="1" outlineLevel="1">
      <c r="A14" s="46">
        <v>0</v>
      </c>
      <c r="B14" s="39">
        <v>1.5</v>
      </c>
      <c r="C14" s="73" t="s">
        <v>89</v>
      </c>
      <c r="D14" s="36" t="s">
        <v>275</v>
      </c>
      <c r="E14" s="36" t="s">
        <v>183</v>
      </c>
      <c r="F14" s="36" t="s">
        <v>182</v>
      </c>
      <c r="G14" s="49" t="s">
        <v>63</v>
      </c>
      <c r="H14" s="56">
        <f t="shared" si="1"/>
        <v>3.3333333333333333E-2</v>
      </c>
      <c r="I14" s="49">
        <v>6</v>
      </c>
      <c r="J14" s="38"/>
      <c r="K14" s="49">
        <f t="shared" si="2"/>
        <v>3</v>
      </c>
      <c r="L14" s="44">
        <v>3</v>
      </c>
      <c r="M14" s="91">
        <f t="shared" si="0"/>
        <v>6</v>
      </c>
      <c r="N14" s="38"/>
    </row>
    <row r="15" spans="1:14" s="26" customFormat="1" ht="94" customHeight="1" outlineLevel="1">
      <c r="A15" s="46" t="s">
        <v>59</v>
      </c>
      <c r="B15" s="33">
        <v>1.6</v>
      </c>
      <c r="C15" s="73" t="s">
        <v>90</v>
      </c>
      <c r="D15" s="36" t="s">
        <v>276</v>
      </c>
      <c r="E15" s="36" t="s">
        <v>212</v>
      </c>
      <c r="F15" s="36" t="s">
        <v>213</v>
      </c>
      <c r="G15" s="49" t="s">
        <v>63</v>
      </c>
      <c r="H15" s="56">
        <f t="shared" si="1"/>
        <v>3.888888888888889E-2</v>
      </c>
      <c r="I15" s="49">
        <v>7</v>
      </c>
      <c r="J15" s="38"/>
      <c r="K15" s="49">
        <f t="shared" si="2"/>
        <v>3</v>
      </c>
      <c r="L15" s="44">
        <v>3</v>
      </c>
      <c r="M15" s="91">
        <f t="shared" si="0"/>
        <v>7</v>
      </c>
      <c r="N15" s="38"/>
    </row>
    <row r="16" spans="1:14" s="26" customFormat="1" ht="130" customHeight="1" outlineLevel="1">
      <c r="A16" s="46"/>
      <c r="B16" s="33">
        <v>1.7</v>
      </c>
      <c r="C16" s="73" t="s">
        <v>91</v>
      </c>
      <c r="D16" s="36" t="s">
        <v>277</v>
      </c>
      <c r="E16" s="36" t="s">
        <v>278</v>
      </c>
      <c r="F16" s="36" t="s">
        <v>184</v>
      </c>
      <c r="G16" s="49" t="s">
        <v>63</v>
      </c>
      <c r="H16" s="56">
        <f t="shared" si="1"/>
        <v>3.3333333333333333E-2</v>
      </c>
      <c r="I16" s="49">
        <v>6</v>
      </c>
      <c r="J16" s="38"/>
      <c r="K16" s="49">
        <f t="shared" si="2"/>
        <v>3</v>
      </c>
      <c r="L16" s="44">
        <v>3</v>
      </c>
      <c r="M16" s="91">
        <f t="shared" si="0"/>
        <v>6</v>
      </c>
      <c r="N16" s="38"/>
    </row>
    <row r="17" spans="1:14" s="26" customFormat="1" ht="59.5" customHeight="1" outlineLevel="1">
      <c r="A17" s="46"/>
      <c r="B17" s="33">
        <v>1.8</v>
      </c>
      <c r="C17" s="60" t="s">
        <v>92</v>
      </c>
      <c r="D17" s="36" t="s">
        <v>185</v>
      </c>
      <c r="E17" s="79" t="s">
        <v>341</v>
      </c>
      <c r="F17" s="36" t="s">
        <v>66</v>
      </c>
      <c r="G17" s="49" t="s">
        <v>67</v>
      </c>
      <c r="H17" s="56">
        <f t="shared" si="1"/>
        <v>4.4444444444444446E-2</v>
      </c>
      <c r="I17" s="49">
        <v>8</v>
      </c>
      <c r="J17" s="38"/>
      <c r="K17" s="49">
        <f t="shared" si="2"/>
        <v>3</v>
      </c>
      <c r="L17" s="44">
        <v>3</v>
      </c>
      <c r="M17" s="91">
        <f t="shared" si="0"/>
        <v>8</v>
      </c>
      <c r="N17" s="38"/>
    </row>
    <row r="18" spans="1:14" s="26" customFormat="1" ht="64.5" customHeight="1" outlineLevel="1">
      <c r="A18" s="46" t="s">
        <v>59</v>
      </c>
      <c r="B18" s="33">
        <v>1.9</v>
      </c>
      <c r="C18" s="60" t="s">
        <v>186</v>
      </c>
      <c r="D18" s="36" t="s">
        <v>279</v>
      </c>
      <c r="E18" s="79" t="s">
        <v>280</v>
      </c>
      <c r="F18" s="36" t="s">
        <v>192</v>
      </c>
      <c r="G18" s="49" t="s">
        <v>63</v>
      </c>
      <c r="H18" s="56">
        <f t="shared" si="1"/>
        <v>2.7777777777777776E-2</v>
      </c>
      <c r="I18" s="49">
        <v>5</v>
      </c>
      <c r="J18" s="38"/>
      <c r="K18" s="49">
        <f t="shared" si="2"/>
        <v>3</v>
      </c>
      <c r="L18" s="44">
        <v>3</v>
      </c>
      <c r="M18" s="91">
        <f t="shared" si="0"/>
        <v>5</v>
      </c>
      <c r="N18" s="38"/>
    </row>
    <row r="19" spans="1:14" s="1" customFormat="1" ht="13" customHeight="1">
      <c r="A19" s="31"/>
      <c r="B19" s="32">
        <v>2</v>
      </c>
      <c r="C19" s="74" t="s">
        <v>47</v>
      </c>
      <c r="D19" s="64"/>
      <c r="E19" s="64"/>
      <c r="F19" s="64"/>
      <c r="G19" s="28"/>
      <c r="H19" s="53">
        <f>I19/$I$8</f>
        <v>7.2222222222222215E-2</v>
      </c>
      <c r="I19" s="50">
        <f>SUM(I20:I21)</f>
        <v>13</v>
      </c>
      <c r="J19" s="31"/>
      <c r="K19" s="47">
        <f>IF(COUNTIF(K20:K21,"=N/A")=2,"N/A",IF(SUM(K20:K21)=0,0,(N(K20)*$H20)+(N(K21)*$H21))/(IF(K20="N/A",0,(3*$H20))+IF(K21="N/A",0,(3*$H21))))</f>
        <v>1</v>
      </c>
      <c r="L19" s="47">
        <f>K19</f>
        <v>1</v>
      </c>
      <c r="M19" s="48">
        <f>IF(K19="N/A","N/A",K19*$I$8*H19)</f>
        <v>12.999999999999998</v>
      </c>
      <c r="N19" s="31"/>
    </row>
    <row r="20" spans="1:14" ht="98.5" customHeight="1" outlineLevel="1">
      <c r="A20" s="38"/>
      <c r="B20" s="33">
        <v>2.1</v>
      </c>
      <c r="C20" s="73" t="s">
        <v>93</v>
      </c>
      <c r="D20" s="79" t="s">
        <v>281</v>
      </c>
      <c r="E20" s="79" t="s">
        <v>193</v>
      </c>
      <c r="F20" s="61" t="s">
        <v>194</v>
      </c>
      <c r="G20" s="49" t="s">
        <v>67</v>
      </c>
      <c r="H20" s="56">
        <f t="shared" ref="H20:H21" si="3">I20/$I$8</f>
        <v>3.3333333333333333E-2</v>
      </c>
      <c r="I20" s="49">
        <v>6</v>
      </c>
      <c r="K20" s="49">
        <f t="shared" ref="K20:K21" si="4">IF(OR(L20=""),"",IF(AND(L20="N/A"),"N/A",AVERAGE(L20:L20)))</f>
        <v>3</v>
      </c>
      <c r="L20" s="44">
        <v>3</v>
      </c>
      <c r="M20" s="91">
        <f>IF(K20="N/A","N/A",K20/3*I20)</f>
        <v>6</v>
      </c>
    </row>
    <row r="21" spans="1:14" ht="103.5" customHeight="1" outlineLevel="1">
      <c r="A21" s="38"/>
      <c r="B21" s="33">
        <v>2.2000000000000002</v>
      </c>
      <c r="C21" s="73" t="s">
        <v>94</v>
      </c>
      <c r="D21" s="34" t="s">
        <v>282</v>
      </c>
      <c r="E21" s="36" t="s">
        <v>340</v>
      </c>
      <c r="F21" s="61" t="s">
        <v>194</v>
      </c>
      <c r="G21" s="49" t="s">
        <v>67</v>
      </c>
      <c r="H21" s="56">
        <f t="shared" si="3"/>
        <v>3.888888888888889E-2</v>
      </c>
      <c r="I21" s="49">
        <v>7</v>
      </c>
      <c r="K21" s="49">
        <f t="shared" si="4"/>
        <v>3</v>
      </c>
      <c r="L21" s="44">
        <v>3</v>
      </c>
      <c r="M21" s="91">
        <f>IF(K21="N/A","N/A",K21/3*I21)</f>
        <v>7</v>
      </c>
    </row>
    <row r="22" spans="1:14" ht="14.5" customHeight="1">
      <c r="A22" s="38"/>
      <c r="B22" s="32">
        <v>3</v>
      </c>
      <c r="C22" s="19" t="s">
        <v>48</v>
      </c>
      <c r="D22" s="28"/>
      <c r="E22" s="28"/>
      <c r="F22" s="28"/>
      <c r="G22" s="28"/>
      <c r="H22" s="53">
        <f>I22/$I$8</f>
        <v>0.24444444444444444</v>
      </c>
      <c r="I22" s="50">
        <f>SUM(I23:I29)</f>
        <v>44</v>
      </c>
      <c r="K22" s="58">
        <f>IF(COUNTIF(K23:K29,"=N/A")=7,"N/A",IF(SUM(K23:K29)=0,0,((N(K23)*$H23)+(N(K24)*$H24)+(N(K25)*$H25)+(N(K26)*$H26))+(N(K27)*$H27)+(N(K28)*$H28)+(N(K29)*$H29))/(IF(K23="N/A",0,(3*$H23))+IF(K24="N/A",0,(3*$H24))+IF(K25="N/A",0,(3*$H25))+IF(K26="N/A",0,(3*$H26))+IF(K27="N/A",0,(3*$H27))+IF(K28="N/A",0,(3*$H28))+IF(K29="N/A",0,(3*$H29))))</f>
        <v>1</v>
      </c>
      <c r="L22" s="58">
        <f>K22</f>
        <v>1</v>
      </c>
      <c r="M22" s="92">
        <f>IF(K22="N/A","N/A",K22*$I$8*H22)</f>
        <v>44</v>
      </c>
    </row>
    <row r="23" spans="1:14" s="38" customFormat="1" ht="56.5" customHeight="1" outlineLevel="1">
      <c r="B23" s="33">
        <v>3.1</v>
      </c>
      <c r="C23" s="80" t="s">
        <v>95</v>
      </c>
      <c r="D23" s="34" t="s">
        <v>196</v>
      </c>
      <c r="E23" s="36" t="s">
        <v>195</v>
      </c>
      <c r="F23" s="36" t="s">
        <v>139</v>
      </c>
      <c r="G23" s="49" t="s">
        <v>62</v>
      </c>
      <c r="H23" s="56">
        <f t="shared" ref="H23:H29" si="5">I23/$I$8</f>
        <v>3.888888888888889E-2</v>
      </c>
      <c r="I23" s="49">
        <v>7</v>
      </c>
      <c r="K23" s="49">
        <f t="shared" ref="K23:K29" si="6">IF(OR(L23=""),"",IF(AND(L23="N/A"),"N/A",AVERAGE(L23:L23)))</f>
        <v>3</v>
      </c>
      <c r="L23" s="44">
        <v>3</v>
      </c>
      <c r="M23" s="91">
        <f t="shared" ref="M23:M29" si="7">IF(K23="N/A","N/A",K23/3*I23)</f>
        <v>7</v>
      </c>
    </row>
    <row r="24" spans="1:14" s="38" customFormat="1" ht="65.5" customHeight="1" outlineLevel="1">
      <c r="B24" s="33">
        <v>3.2</v>
      </c>
      <c r="C24" s="80" t="s">
        <v>96</v>
      </c>
      <c r="D24" s="34" t="s">
        <v>196</v>
      </c>
      <c r="E24" s="36" t="s">
        <v>195</v>
      </c>
      <c r="F24" s="36" t="s">
        <v>139</v>
      </c>
      <c r="G24" s="49" t="s">
        <v>62</v>
      </c>
      <c r="H24" s="56">
        <f t="shared" si="5"/>
        <v>3.888888888888889E-2</v>
      </c>
      <c r="I24" s="49">
        <v>7</v>
      </c>
      <c r="K24" s="49">
        <f t="shared" si="6"/>
        <v>3</v>
      </c>
      <c r="L24" s="44">
        <v>3</v>
      </c>
      <c r="M24" s="91">
        <f t="shared" si="7"/>
        <v>7</v>
      </c>
    </row>
    <row r="25" spans="1:14" s="38" customFormat="1" ht="70.5" customHeight="1" outlineLevel="1">
      <c r="B25" s="33">
        <v>3.3</v>
      </c>
      <c r="C25" s="81" t="s">
        <v>127</v>
      </c>
      <c r="D25" s="34" t="s">
        <v>196</v>
      </c>
      <c r="E25" s="36" t="s">
        <v>195</v>
      </c>
      <c r="F25" s="36" t="s">
        <v>139</v>
      </c>
      <c r="G25" s="49" t="s">
        <v>62</v>
      </c>
      <c r="H25" s="56">
        <f t="shared" si="5"/>
        <v>3.888888888888889E-2</v>
      </c>
      <c r="I25" s="49">
        <v>7</v>
      </c>
      <c r="K25" s="49">
        <f t="shared" si="6"/>
        <v>3</v>
      </c>
      <c r="L25" s="44">
        <v>3</v>
      </c>
      <c r="M25" s="91">
        <f t="shared" si="7"/>
        <v>7</v>
      </c>
    </row>
    <row r="26" spans="1:14" s="38" customFormat="1" ht="74.150000000000006" customHeight="1" outlineLevel="1">
      <c r="B26" s="33">
        <v>3.4</v>
      </c>
      <c r="C26" s="80" t="s">
        <v>305</v>
      </c>
      <c r="D26" s="34" t="s">
        <v>196</v>
      </c>
      <c r="E26" s="36" t="s">
        <v>195</v>
      </c>
      <c r="F26" s="36" t="s">
        <v>139</v>
      </c>
      <c r="G26" s="49" t="s">
        <v>62</v>
      </c>
      <c r="H26" s="56">
        <f t="shared" si="5"/>
        <v>3.3333333333333333E-2</v>
      </c>
      <c r="I26" s="49">
        <v>6</v>
      </c>
      <c r="K26" s="49">
        <f t="shared" si="6"/>
        <v>3</v>
      </c>
      <c r="L26" s="44">
        <v>3</v>
      </c>
      <c r="M26" s="91">
        <f t="shared" si="7"/>
        <v>6</v>
      </c>
    </row>
    <row r="27" spans="1:14" s="38" customFormat="1" ht="70.5" customHeight="1" outlineLevel="1">
      <c r="B27" s="33">
        <v>3.5</v>
      </c>
      <c r="C27" s="60" t="s">
        <v>97</v>
      </c>
      <c r="D27" s="34" t="s">
        <v>196</v>
      </c>
      <c r="E27" s="36" t="s">
        <v>195</v>
      </c>
      <c r="F27" s="36" t="s">
        <v>139</v>
      </c>
      <c r="G27" s="49" t="s">
        <v>62</v>
      </c>
      <c r="H27" s="56">
        <f t="shared" si="5"/>
        <v>2.2222222222222223E-2</v>
      </c>
      <c r="I27" s="49">
        <v>4</v>
      </c>
      <c r="K27" s="49">
        <f t="shared" si="6"/>
        <v>3</v>
      </c>
      <c r="L27" s="44">
        <v>3</v>
      </c>
      <c r="M27" s="91">
        <f t="shared" si="7"/>
        <v>4</v>
      </c>
    </row>
    <row r="28" spans="1:14" s="38" customFormat="1" ht="71.5" customHeight="1" outlineLevel="1">
      <c r="B28" s="33">
        <v>3.6</v>
      </c>
      <c r="C28" s="80" t="s">
        <v>98</v>
      </c>
      <c r="D28" s="34" t="s">
        <v>260</v>
      </c>
      <c r="E28" s="36" t="s">
        <v>195</v>
      </c>
      <c r="F28" s="61" t="s">
        <v>194</v>
      </c>
      <c r="G28" s="49" t="s">
        <v>62</v>
      </c>
      <c r="H28" s="56">
        <f t="shared" si="5"/>
        <v>3.888888888888889E-2</v>
      </c>
      <c r="I28" s="49">
        <v>7</v>
      </c>
      <c r="K28" s="49">
        <f t="shared" si="6"/>
        <v>3</v>
      </c>
      <c r="L28" s="44">
        <v>3</v>
      </c>
      <c r="M28" s="91">
        <f t="shared" si="7"/>
        <v>7</v>
      </c>
    </row>
    <row r="29" spans="1:14" s="38" customFormat="1" ht="79.5" customHeight="1" outlineLevel="1">
      <c r="B29" s="33">
        <v>3.7</v>
      </c>
      <c r="C29" s="80" t="s">
        <v>99</v>
      </c>
      <c r="D29" s="34" t="s">
        <v>261</v>
      </c>
      <c r="E29" s="36" t="s">
        <v>195</v>
      </c>
      <c r="F29" s="61" t="s">
        <v>194</v>
      </c>
      <c r="G29" s="49" t="s">
        <v>62</v>
      </c>
      <c r="H29" s="56">
        <f t="shared" si="5"/>
        <v>3.3333333333333333E-2</v>
      </c>
      <c r="I29" s="49">
        <v>6</v>
      </c>
      <c r="K29" s="49">
        <f t="shared" si="6"/>
        <v>3</v>
      </c>
      <c r="L29" s="44">
        <v>3</v>
      </c>
      <c r="M29" s="91">
        <f t="shared" si="7"/>
        <v>6</v>
      </c>
    </row>
    <row r="30" spans="1:14" s="31" customFormat="1" ht="13">
      <c r="B30" s="32">
        <v>4</v>
      </c>
      <c r="C30" s="27" t="s">
        <v>49</v>
      </c>
      <c r="D30" s="28"/>
      <c r="E30" s="28"/>
      <c r="F30" s="28"/>
      <c r="G30" s="28"/>
      <c r="H30" s="53">
        <f>I30/$I$8</f>
        <v>0.12222222222222222</v>
      </c>
      <c r="I30" s="50">
        <f>SUM(I31:I33)</f>
        <v>22</v>
      </c>
      <c r="K30" s="53">
        <f>IF(COUNTIF(K31:K33,"=N/A")=4,"N/A",IF(SUM(K31:K33)=0,0,((N(K31)*$H31)+(N(K32)*$H32)+(N(K33)*$H33))/(IF(K31="N/A",0,(3*$H31))+IF(K32="N/A",0,(3*$H32))+IF(K33="N/A",0,(3*H33)))))</f>
        <v>1</v>
      </c>
      <c r="L30" s="53">
        <f>K30</f>
        <v>1</v>
      </c>
      <c r="M30" s="50">
        <f>IF(K30="N/A","N/A",K30*$I$8*H30)</f>
        <v>22</v>
      </c>
    </row>
    <row r="31" spans="1:14" s="26" customFormat="1" ht="141.65" customHeight="1" outlineLevel="1">
      <c r="B31" s="33">
        <v>4.0999999999999996</v>
      </c>
      <c r="C31" s="60" t="s">
        <v>214</v>
      </c>
      <c r="D31" s="34" t="s">
        <v>283</v>
      </c>
      <c r="E31" s="36" t="s">
        <v>267</v>
      </c>
      <c r="F31" s="36" t="s">
        <v>197</v>
      </c>
      <c r="G31" s="49" t="s">
        <v>63</v>
      </c>
      <c r="H31" s="56">
        <f t="shared" ref="H31:H33" si="8">I31/$I$8</f>
        <v>4.4444444444444446E-2</v>
      </c>
      <c r="I31" s="49">
        <v>8</v>
      </c>
      <c r="J31" s="38"/>
      <c r="K31" s="49">
        <f t="shared" ref="K31:K33" si="9">IF(OR(L31=""),"",IF(AND(L31="N/A"),"N/A",AVERAGE(L31:L31)))</f>
        <v>3</v>
      </c>
      <c r="L31" s="44">
        <v>3</v>
      </c>
      <c r="M31" s="91">
        <f>IF(K31="N/A","N/A",K31/3*I31)</f>
        <v>8</v>
      </c>
      <c r="N31" s="38"/>
    </row>
    <row r="32" spans="1:14" s="1" customFormat="1" ht="108" customHeight="1" outlineLevel="1">
      <c r="B32" s="33">
        <v>4.2</v>
      </c>
      <c r="C32" s="82" t="s">
        <v>215</v>
      </c>
      <c r="D32" s="71" t="s">
        <v>307</v>
      </c>
      <c r="E32" s="72" t="s">
        <v>216</v>
      </c>
      <c r="F32" s="36" t="s">
        <v>198</v>
      </c>
      <c r="G32" s="49" t="s">
        <v>67</v>
      </c>
      <c r="H32" s="56">
        <f t="shared" si="8"/>
        <v>3.888888888888889E-2</v>
      </c>
      <c r="I32" s="49">
        <v>7</v>
      </c>
      <c r="J32" s="31"/>
      <c r="K32" s="49">
        <f t="shared" si="9"/>
        <v>3</v>
      </c>
      <c r="L32" s="44">
        <v>3</v>
      </c>
      <c r="M32" s="91">
        <f>IF(K32="N/A","N/A",K32/3*I32)</f>
        <v>7</v>
      </c>
      <c r="N32" s="31"/>
    </row>
    <row r="33" spans="1:14" s="26" customFormat="1" ht="58" customHeight="1" outlineLevel="1">
      <c r="B33" s="33">
        <v>4.3</v>
      </c>
      <c r="C33" s="82" t="s">
        <v>100</v>
      </c>
      <c r="D33" s="34" t="s">
        <v>196</v>
      </c>
      <c r="E33" s="72" t="s">
        <v>199</v>
      </c>
      <c r="F33" s="62" t="s">
        <v>139</v>
      </c>
      <c r="G33" s="49" t="s">
        <v>62</v>
      </c>
      <c r="H33" s="56">
        <f t="shared" si="8"/>
        <v>3.888888888888889E-2</v>
      </c>
      <c r="I33" s="49">
        <v>7</v>
      </c>
      <c r="J33" s="38"/>
      <c r="K33" s="49">
        <f t="shared" si="9"/>
        <v>3</v>
      </c>
      <c r="L33" s="44">
        <v>3</v>
      </c>
      <c r="M33" s="91">
        <f>IF(K33="N/A","N/A",K33/3*I33)</f>
        <v>7</v>
      </c>
      <c r="N33" s="38"/>
    </row>
    <row r="34" spans="1:14" s="31" customFormat="1" ht="13">
      <c r="B34" s="32">
        <v>5</v>
      </c>
      <c r="C34" s="27" t="s">
        <v>50</v>
      </c>
      <c r="D34" s="28"/>
      <c r="E34" s="28"/>
      <c r="F34" s="75"/>
      <c r="G34" s="75"/>
      <c r="H34" s="53">
        <f>I34/$I$8</f>
        <v>9.4444444444444442E-2</v>
      </c>
      <c r="I34" s="50">
        <f>SUM(I35:I37)</f>
        <v>17</v>
      </c>
      <c r="K34" s="58">
        <f>IF(COUNTIF(K35:K37,"=N/A")=3,"N/A",IF(SUM(K35:K37)=0,0,((N(K35)*$H35)+(N(K36)*$H36)+(N(K37)*$H37)))/(IF(K35="N/A",0,(3*$H35))+IF(K36="N/A",0,(3*$H36))+IF(K37="N/A",0,(3*$H37))))</f>
        <v>1</v>
      </c>
      <c r="L34" s="58">
        <f>K34</f>
        <v>1</v>
      </c>
      <c r="M34" s="92">
        <f>IF(K34="N/A","N/A",K34*$I$8*H34)</f>
        <v>17</v>
      </c>
    </row>
    <row r="35" spans="1:14" ht="84" customHeight="1" outlineLevel="1">
      <c r="A35" s="26"/>
      <c r="B35" s="33">
        <v>5.0999999999999996</v>
      </c>
      <c r="C35" s="73" t="s">
        <v>101</v>
      </c>
      <c r="D35" s="34" t="s">
        <v>200</v>
      </c>
      <c r="E35" s="36" t="s">
        <v>201</v>
      </c>
      <c r="F35" s="63" t="s">
        <v>202</v>
      </c>
      <c r="G35" s="49" t="s">
        <v>62</v>
      </c>
      <c r="H35" s="56">
        <f t="shared" ref="H35:H37" si="10">I35/$I$8</f>
        <v>3.3333333333333333E-2</v>
      </c>
      <c r="I35" s="49">
        <v>6</v>
      </c>
      <c r="K35" s="49">
        <f t="shared" ref="K35:K37" si="11">IF(OR(L35=""),"",IF(AND(L35="N/A"),"N/A",AVERAGE(L35:L35)))</f>
        <v>3</v>
      </c>
      <c r="L35" s="44">
        <v>3</v>
      </c>
      <c r="M35" s="91">
        <f>IF(K35="N/A","N/A",K35/3*I35)</f>
        <v>6</v>
      </c>
    </row>
    <row r="36" spans="1:14" ht="86.15" customHeight="1" outlineLevel="1">
      <c r="A36" s="26"/>
      <c r="B36" s="33">
        <v>5.2</v>
      </c>
      <c r="C36" s="80" t="s">
        <v>102</v>
      </c>
      <c r="D36" s="34" t="s">
        <v>284</v>
      </c>
      <c r="E36" s="36" t="s">
        <v>203</v>
      </c>
      <c r="F36" s="63" t="s">
        <v>197</v>
      </c>
      <c r="G36" s="49" t="s">
        <v>67</v>
      </c>
      <c r="H36" s="56">
        <f t="shared" si="10"/>
        <v>2.7777777777777776E-2</v>
      </c>
      <c r="I36" s="49">
        <v>5</v>
      </c>
      <c r="K36" s="49">
        <f t="shared" si="11"/>
        <v>3</v>
      </c>
      <c r="L36" s="44">
        <v>3</v>
      </c>
      <c r="M36" s="91">
        <f>IF(K36="N/A","N/A",K36/3*I36)</f>
        <v>5</v>
      </c>
    </row>
    <row r="37" spans="1:14" ht="66" customHeight="1" outlineLevel="1">
      <c r="A37" s="1"/>
      <c r="B37" s="33">
        <v>5.3</v>
      </c>
      <c r="C37" s="73" t="s">
        <v>103</v>
      </c>
      <c r="D37" s="34" t="s">
        <v>204</v>
      </c>
      <c r="E37" s="36" t="s">
        <v>205</v>
      </c>
      <c r="F37" s="63" t="s">
        <v>139</v>
      </c>
      <c r="G37" s="49" t="s">
        <v>62</v>
      </c>
      <c r="H37" s="56">
        <f t="shared" si="10"/>
        <v>3.3333333333333333E-2</v>
      </c>
      <c r="I37" s="49">
        <v>6</v>
      </c>
      <c r="K37" s="49">
        <f t="shared" si="11"/>
        <v>3</v>
      </c>
      <c r="L37" s="44">
        <v>3</v>
      </c>
      <c r="M37" s="91">
        <f>IF(K37="N/A","N/A",K37/3*I37)</f>
        <v>6</v>
      </c>
    </row>
    <row r="38" spans="1:14" s="31" customFormat="1" ht="13">
      <c r="B38" s="32">
        <v>6</v>
      </c>
      <c r="C38" s="27" t="s">
        <v>51</v>
      </c>
      <c r="D38" s="28"/>
      <c r="E38" s="28"/>
      <c r="F38" s="75"/>
      <c r="G38" s="75"/>
      <c r="H38" s="53">
        <f>I38/$I$8</f>
        <v>0.16666666666666666</v>
      </c>
      <c r="I38" s="50">
        <f>SUM(I39:I42)</f>
        <v>30</v>
      </c>
      <c r="K38" s="53">
        <f>IF(COUNTIF(K39:K42,"=N/A")=4,"N/A",IF(SUM(K39:K42)=0,0,((N(K39)*$H39)+(N(K40)*$H40)+(N(K41)*$H41)+(N(K42)*$H42))/(IF(K39="N/A",0,(3*$H39))+IF(K40="N/A",0,(3*$H40))+IF(K41="N/A",0,(3*$H41))+IF(K42="N/A",0,(3*H42)))))</f>
        <v>1</v>
      </c>
      <c r="L38" s="53">
        <f>K38</f>
        <v>1</v>
      </c>
      <c r="M38" s="50">
        <f>IF(K38="N/A","N/A",K38*$I$8*H38)</f>
        <v>30</v>
      </c>
    </row>
    <row r="39" spans="1:14" ht="59.5" customHeight="1" outlineLevel="1">
      <c r="A39" s="26"/>
      <c r="B39" s="33">
        <v>6.1</v>
      </c>
      <c r="C39" s="73" t="s">
        <v>104</v>
      </c>
      <c r="D39" s="34" t="s">
        <v>204</v>
      </c>
      <c r="E39" s="36" t="s">
        <v>206</v>
      </c>
      <c r="F39" s="36" t="s">
        <v>66</v>
      </c>
      <c r="G39" s="49" t="s">
        <v>62</v>
      </c>
      <c r="H39" s="56">
        <f t="shared" ref="H39:H42" si="12">I39/$I$8</f>
        <v>0.05</v>
      </c>
      <c r="I39" s="49">
        <v>9</v>
      </c>
      <c r="K39" s="49">
        <f t="shared" ref="K39:K42" si="13">IF(OR(L39=""),"",IF(AND(L39="N/A"),"N/A",AVERAGE(L39:L39)))</f>
        <v>3</v>
      </c>
      <c r="L39" s="44">
        <v>3</v>
      </c>
      <c r="M39" s="84">
        <f>IF(K39="N/A","N/A",K39/3*I39)</f>
        <v>9</v>
      </c>
    </row>
    <row r="40" spans="1:14" ht="59.5" customHeight="1" outlineLevel="1">
      <c r="A40" s="26"/>
      <c r="B40" s="33">
        <v>6.2</v>
      </c>
      <c r="C40" s="81" t="s">
        <v>105</v>
      </c>
      <c r="D40" s="34" t="s">
        <v>204</v>
      </c>
      <c r="E40" s="36" t="s">
        <v>206</v>
      </c>
      <c r="F40" s="36" t="s">
        <v>66</v>
      </c>
      <c r="G40" s="49" t="s">
        <v>62</v>
      </c>
      <c r="H40" s="56">
        <f t="shared" si="12"/>
        <v>3.888888888888889E-2</v>
      </c>
      <c r="I40" s="49">
        <v>7</v>
      </c>
      <c r="K40" s="49">
        <f t="shared" si="13"/>
        <v>3</v>
      </c>
      <c r="L40" s="44">
        <v>3</v>
      </c>
      <c r="M40" s="84">
        <f>IF(K40="N/A","N/A",K40/3*I40)</f>
        <v>7</v>
      </c>
    </row>
    <row r="41" spans="1:14" ht="59.5" customHeight="1" outlineLevel="1">
      <c r="B41" s="33">
        <v>6.3</v>
      </c>
      <c r="C41" s="83" t="s">
        <v>106</v>
      </c>
      <c r="D41" s="34" t="s">
        <v>204</v>
      </c>
      <c r="E41" s="36" t="s">
        <v>206</v>
      </c>
      <c r="F41" s="36" t="s">
        <v>66</v>
      </c>
      <c r="G41" s="49" t="s">
        <v>62</v>
      </c>
      <c r="H41" s="56">
        <f t="shared" si="12"/>
        <v>3.888888888888889E-2</v>
      </c>
      <c r="I41" s="49">
        <v>7</v>
      </c>
      <c r="K41" s="49">
        <f t="shared" si="13"/>
        <v>3</v>
      </c>
      <c r="L41" s="44">
        <v>3</v>
      </c>
      <c r="M41" s="84">
        <f>IF(K41="N/A","N/A",K41/3*I41)</f>
        <v>7</v>
      </c>
    </row>
    <row r="42" spans="1:14" ht="59.5" customHeight="1" outlineLevel="1">
      <c r="B42" s="33">
        <v>6.4</v>
      </c>
      <c r="C42" s="73" t="s">
        <v>107</v>
      </c>
      <c r="D42" s="34" t="s">
        <v>204</v>
      </c>
      <c r="E42" s="36" t="s">
        <v>199</v>
      </c>
      <c r="F42" s="36" t="s">
        <v>66</v>
      </c>
      <c r="G42" s="49" t="s">
        <v>62</v>
      </c>
      <c r="H42" s="56">
        <f t="shared" si="12"/>
        <v>3.888888888888889E-2</v>
      </c>
      <c r="I42" s="49">
        <v>7</v>
      </c>
      <c r="K42" s="49">
        <f t="shared" si="13"/>
        <v>3</v>
      </c>
      <c r="L42" s="44">
        <v>3</v>
      </c>
      <c r="M42" s="84">
        <f>IF(K42="N/A","N/A",K42/3*I42)</f>
        <v>7</v>
      </c>
    </row>
    <row r="43" spans="1:14"/>
    <row r="44" spans="1:14"/>
    <row r="45" spans="1:14" hidden="1"/>
    <row r="46" spans="1:14" hidden="1"/>
    <row r="47" spans="1:14" hidden="1"/>
    <row r="48" spans="1:14" hidden="1"/>
  </sheetData>
  <mergeCells count="2">
    <mergeCell ref="C9:E9"/>
    <mergeCell ref="K6:M6"/>
  </mergeCells>
  <dataValidations count="2">
    <dataValidation type="list" allowBlank="1" showInputMessage="1" showErrorMessage="1" sqref="L10:L12 L18" xr:uid="{00000000-0002-0000-0300-000000000000}">
      <formula1>$A$13:$A$15</formula1>
    </dataValidation>
    <dataValidation type="list" allowBlank="1" showInputMessage="1" showErrorMessage="1" sqref="L13:L17 L39:L42 L35:L37 L31:L33 L23:L29 L20:L21" xr:uid="{00000000-0002-0000-0300-000001000000}">
      <formula1>$A$8:$A$11</formula1>
    </dataValidation>
  </dataValidation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Segurança</vt:lpstr>
      <vt:lpstr>Gestão</vt:lpstr>
      <vt:lpstr>Nível de Serviço</vt:lpstr>
      <vt:lpstr>Comercial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Mariana Bandeira De Oliveira Carvalho Ruela (ES)</dc:creator>
  <cp:lastModifiedBy>Thais Regina Soares (AC)</cp:lastModifiedBy>
  <dcterms:created xsi:type="dcterms:W3CDTF">2020-12-11T21:54:31Z</dcterms:created>
  <dcterms:modified xsi:type="dcterms:W3CDTF">2021-02-09T14:13:37Z</dcterms:modified>
</cp:coreProperties>
</file>