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S/Documents/sensitv2-decoder/"/>
    </mc:Choice>
  </mc:AlternateContent>
  <bookViews>
    <workbookView xWindow="0" yWindow="460" windowWidth="25600" windowHeight="14600" tabRatio="500"/>
  </bookViews>
  <sheets>
    <sheet name="Uplink" sheetId="1" r:id="rId1"/>
    <sheet name="Downlink" sheetId="3" r:id="rId2"/>
    <sheet name="Referenc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S7" i="1"/>
  <c r="E11" i="3"/>
  <c r="E10" i="3"/>
  <c r="I5" i="3"/>
  <c r="H5" i="3"/>
  <c r="L5" i="3"/>
  <c r="K5" i="3"/>
  <c r="J5" i="3"/>
  <c r="E17" i="3"/>
  <c r="E20" i="3"/>
  <c r="M5" i="3"/>
  <c r="E14" i="3"/>
  <c r="E8" i="3"/>
  <c r="E9" i="3"/>
  <c r="E4" i="3"/>
  <c r="E3" i="3"/>
  <c r="E5" i="3"/>
  <c r="F5" i="3"/>
  <c r="G5" i="3"/>
  <c r="D10" i="3"/>
  <c r="D8" i="3"/>
  <c r="B6" i="1"/>
  <c r="H6" i="1"/>
  <c r="I6" i="1"/>
  <c r="J6" i="1"/>
  <c r="O6" i="1"/>
  <c r="B9" i="1"/>
  <c r="X9" i="1"/>
  <c r="U9" i="1"/>
  <c r="R9" i="1"/>
  <c r="O9" i="1"/>
  <c r="P9" i="1"/>
  <c r="B8" i="1"/>
  <c r="E8" i="1"/>
  <c r="F8" i="1"/>
  <c r="G8" i="1"/>
  <c r="H8" i="1"/>
  <c r="I8" i="1"/>
  <c r="J8" i="1"/>
  <c r="X8" i="1"/>
  <c r="C8" i="1"/>
  <c r="D8" i="1"/>
  <c r="U8" i="1"/>
  <c r="V8" i="1"/>
  <c r="Y8" i="1"/>
  <c r="O8" i="1"/>
  <c r="B7" i="1"/>
  <c r="C7" i="1"/>
  <c r="D7" i="1"/>
  <c r="E7" i="1"/>
  <c r="F7" i="1"/>
  <c r="R7" i="1"/>
  <c r="P8" i="1"/>
  <c r="C6" i="1"/>
  <c r="X6" i="1"/>
  <c r="G7" i="1"/>
  <c r="H7" i="1"/>
  <c r="I7" i="1"/>
  <c r="J7" i="1"/>
  <c r="O7" i="1"/>
  <c r="P7" i="1"/>
  <c r="D6" i="1"/>
  <c r="E6" i="1"/>
  <c r="U6" i="1"/>
  <c r="V6" i="1"/>
  <c r="F6" i="1"/>
  <c r="G6" i="1"/>
  <c r="R6" i="1"/>
  <c r="S6" i="1"/>
  <c r="P6" i="1"/>
  <c r="C9" i="1"/>
  <c r="D9" i="1"/>
  <c r="E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<sst xmlns="http://schemas.openxmlformats.org/spreadsheetml/2006/main" count="105" uniqueCount="90">
  <si>
    <t>Byte 1</t>
  </si>
  <si>
    <t>Byte 2</t>
  </si>
  <si>
    <t>Byte 3</t>
  </si>
  <si>
    <t>Byte 4</t>
  </si>
  <si>
    <t>Mode</t>
  </si>
  <si>
    <t>TimeFrame</t>
  </si>
  <si>
    <t>Type</t>
  </si>
  <si>
    <t>Battery MSB</t>
  </si>
  <si>
    <t xml:space="preserve">Button </t>
  </si>
  <si>
    <t xml:space="preserve">T° + humidity </t>
  </si>
  <si>
    <t xml:space="preserve">Light </t>
  </si>
  <si>
    <t xml:space="preserve">Door </t>
  </si>
  <si>
    <t xml:space="preserve">Move </t>
  </si>
  <si>
    <t xml:space="preserve">Reed switch </t>
  </si>
  <si>
    <t>Timeframe</t>
  </si>
  <si>
    <t xml:space="preserve">10 mins </t>
  </si>
  <si>
    <t xml:space="preserve">1 hour </t>
  </si>
  <si>
    <t xml:space="preserve">6 jours </t>
  </si>
  <si>
    <t xml:space="preserve">24 hours </t>
  </si>
  <si>
    <t xml:space="preserve">Regular, no alert </t>
  </si>
  <si>
    <t xml:space="preserve">Button call </t>
  </si>
  <si>
    <t xml:space="preserve">Alert </t>
  </si>
  <si>
    <t xml:space="preserve">New mode </t>
  </si>
  <si>
    <t>T° MSB</t>
  </si>
  <si>
    <t>Battery LSB</t>
  </si>
  <si>
    <t>T° LSB</t>
  </si>
  <si>
    <t>Humidity</t>
  </si>
  <si>
    <t>C2</t>
  </si>
  <si>
    <t>Multiplier light</t>
  </si>
  <si>
    <t xml:space="preserve">Reed Switch state </t>
  </si>
  <si>
    <t>Value light</t>
  </si>
  <si>
    <t>Minor version</t>
  </si>
  <si>
    <t>Major version</t>
  </si>
  <si>
    <t>Nb of alerts</t>
  </si>
  <si>
    <t>Sensit v2 Payload</t>
  </si>
  <si>
    <t>Temperature</t>
  </si>
  <si>
    <t>Upper Threshold</t>
  </si>
  <si>
    <t>Lower Threshold</t>
  </si>
  <si>
    <t>Period</t>
  </si>
  <si>
    <t>Downlink T° period</t>
  </si>
  <si>
    <t xml:space="preserve">10min </t>
  </si>
  <si>
    <t xml:space="preserve">0b01 </t>
  </si>
  <si>
    <t xml:space="preserve">1h </t>
  </si>
  <si>
    <t xml:space="preserve">0b10 </t>
  </si>
  <si>
    <t xml:space="preserve">6h </t>
  </si>
  <si>
    <t xml:space="preserve">0b11 </t>
  </si>
  <si>
    <t xml:space="preserve">24h </t>
  </si>
  <si>
    <t>0b00</t>
  </si>
  <si>
    <t>Light</t>
  </si>
  <si>
    <t>Lower threshold</t>
  </si>
  <si>
    <t>Lower multiplier</t>
  </si>
  <si>
    <t>Upper multiplier</t>
  </si>
  <si>
    <t xml:space="preserve">0b00 </t>
  </si>
  <si>
    <t>Downlink Light mutliplier</t>
  </si>
  <si>
    <t>Accelerometer</t>
  </si>
  <si>
    <t>Sensitivity</t>
  </si>
  <si>
    <t xml:space="preserve">0x100373 </t>
  </si>
  <si>
    <t xml:space="preserve">Very little sensitivity </t>
  </si>
  <si>
    <t xml:space="preserve">0x080273 </t>
  </si>
  <si>
    <t xml:space="preserve">Not very sensitive </t>
  </si>
  <si>
    <t xml:space="preserve">0x040273 </t>
  </si>
  <si>
    <t xml:space="preserve">Standard </t>
  </si>
  <si>
    <t xml:space="preserve">0x030173 </t>
  </si>
  <si>
    <t xml:space="preserve">Sensitive </t>
  </si>
  <si>
    <t xml:space="preserve">0x010173 </t>
  </si>
  <si>
    <t xml:space="preserve">Very sensitive </t>
  </si>
  <si>
    <t>Accelero sensitivity</t>
  </si>
  <si>
    <t>Magnet</t>
  </si>
  <si>
    <t>Not very sensitive</t>
  </si>
  <si>
    <t>Standard</t>
  </si>
  <si>
    <t>Sensitive</t>
  </si>
  <si>
    <t>0x16</t>
  </si>
  <si>
    <t>0x32</t>
  </si>
  <si>
    <t>0x50</t>
  </si>
  <si>
    <t>Magneto sensitivity</t>
  </si>
  <si>
    <t>Duty cycle</t>
  </si>
  <si>
    <t xml:space="preserve">Enforce Respect ? </t>
  </si>
  <si>
    <t>Yes</t>
  </si>
  <si>
    <t>No</t>
  </si>
  <si>
    <t>Flag duty cycle</t>
  </si>
  <si>
    <t>B1</t>
  </si>
  <si>
    <t>B2</t>
  </si>
  <si>
    <t>B3</t>
  </si>
  <si>
    <t>B4</t>
  </si>
  <si>
    <t>B5</t>
  </si>
  <si>
    <t>B6</t>
  </si>
  <si>
    <t>B7</t>
  </si>
  <si>
    <t>B8</t>
  </si>
  <si>
    <t>Downlink payload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</si>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</sst>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\ \V"/>
    <numFmt numFmtId="165" formatCode="0.00\ \°\C"/>
    <numFmt numFmtId="166" formatCode="0\ \°\C"/>
    <numFmt numFmtId="167" formatCode="0\ %"/>
    <numFmt numFmtId="168" formatCode="0.00\ \L\u\x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Neue"/>
    </font>
    <font>
      <sz val="9"/>
      <color theme="1"/>
      <name val="HelveticaNeue"/>
    </font>
    <font>
      <sz val="8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0" fillId="0" borderId="0" xfId="0" applyNumberForma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R8" sqref="R8"/>
    </sheetView>
  </sheetViews>
  <sheetFormatPr baseColWidth="10" defaultRowHeight="16" x14ac:dyDescent="0.2"/>
  <cols>
    <col min="1" max="1" width="7.5" bestFit="1" customWidth="1"/>
    <col min="2" max="2" width="10.1640625" bestFit="1" customWidth="1"/>
    <col min="3" max="13" width="3.6640625" customWidth="1"/>
    <col min="14" max="14" width="10.33203125" style="1" bestFit="1" customWidth="1"/>
    <col min="15" max="15" width="9.1640625" style="1" bestFit="1" customWidth="1"/>
    <col min="16" max="16" width="12.33203125" style="1" bestFit="1" customWidth="1"/>
    <col min="17" max="17" width="16" style="1" bestFit="1" customWidth="1"/>
    <col min="18" max="18" width="5.1640625" style="1" bestFit="1" customWidth="1"/>
    <col min="19" max="19" width="10.83203125" style="1"/>
    <col min="20" max="20" width="13.1640625" style="1" bestFit="1" customWidth="1"/>
    <col min="21" max="21" width="3.1640625" style="1" bestFit="1" customWidth="1"/>
    <col min="22" max="22" width="10.83203125" style="1"/>
    <col min="23" max="23" width="11.1640625" style="1" bestFit="1" customWidth="1"/>
    <col min="24" max="24" width="7.1640625" style="1" bestFit="1" customWidth="1"/>
  </cols>
  <sheetData>
    <row r="1" spans="1:25" x14ac:dyDescent="0.2">
      <c r="B1" s="31" t="s">
        <v>34</v>
      </c>
      <c r="C1">
        <v>1</v>
      </c>
      <c r="D1">
        <v>2</v>
      </c>
      <c r="E1">
        <v>3</v>
      </c>
      <c r="F1">
        <v>4</v>
      </c>
    </row>
    <row r="2" spans="1:25" x14ac:dyDescent="0.2">
      <c r="B2" s="31"/>
      <c r="C2" s="12" t="s">
        <v>27</v>
      </c>
      <c r="D2" s="12">
        <v>64</v>
      </c>
      <c r="E2" s="12">
        <v>64</v>
      </c>
      <c r="F2" s="12">
        <v>18</v>
      </c>
    </row>
    <row r="4" spans="1:25" x14ac:dyDescent="0.2">
      <c r="C4" s="3">
        <v>7</v>
      </c>
      <c r="D4" s="3">
        <v>6</v>
      </c>
      <c r="E4" s="3">
        <v>5</v>
      </c>
      <c r="F4" s="3">
        <v>4</v>
      </c>
      <c r="G4" s="3">
        <v>3</v>
      </c>
      <c r="H4" s="3">
        <v>2</v>
      </c>
      <c r="I4" s="3">
        <v>1</v>
      </c>
      <c r="J4" s="3">
        <v>0</v>
      </c>
    </row>
    <row r="5" spans="1:25" hidden="1" x14ac:dyDescent="0.2">
      <c r="B5" s="2"/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</row>
    <row r="6" spans="1:25" x14ac:dyDescent="0.2">
      <c r="A6" s="3" t="s">
        <v>0</v>
      </c>
      <c r="B6" s="2" t="str">
        <f>HEX2BIN(C2,8)</f>
        <v>11000010</v>
      </c>
      <c r="C6" s="8" t="str">
        <f>MID($B6,C$5+1,1)</f>
        <v>1</v>
      </c>
      <c r="D6" s="7" t="str">
        <f t="shared" ref="D6:J9" si="0">MID($B6,D$5+1,1)</f>
        <v>1</v>
      </c>
      <c r="E6" s="7" t="str">
        <f t="shared" si="0"/>
        <v>0</v>
      </c>
      <c r="F6" s="6" t="str">
        <f t="shared" si="0"/>
        <v>0</v>
      </c>
      <c r="G6" s="6" t="str">
        <f t="shared" si="0"/>
        <v>0</v>
      </c>
      <c r="H6" s="5" t="str">
        <f t="shared" si="0"/>
        <v>0</v>
      </c>
      <c r="I6" s="5" t="str">
        <f t="shared" si="0"/>
        <v>1</v>
      </c>
      <c r="J6" s="5" t="str">
        <f t="shared" si="0"/>
        <v>0</v>
      </c>
      <c r="L6" t="s">
        <v>89</v>
      </c>
      <c r="N6" s="16" t="s">
        <v>4</v>
      </c>
      <c r="O6" s="1">
        <f>BIN2DEC(CONCATENATE(H6,I6,J6))</f>
        <v>2</v>
      </c>
      <c r="P6" s="22" t="str">
        <f>VLOOKUP(O6,Reference!A2:B7,2,FALSE)</f>
        <v xml:space="preserve">Light </v>
      </c>
      <c r="Q6" s="17" t="s">
        <v>5</v>
      </c>
      <c r="R6" s="1">
        <f>BIN2DEC(CONCATENATE(F6,G6))</f>
        <v>0</v>
      </c>
      <c r="S6" s="22" t="str">
        <f>VLOOKUP(R6,Reference!A10:B13,2,FALSE)</f>
        <v xml:space="preserve">10 mins </v>
      </c>
      <c r="T6" s="18" t="s">
        <v>6</v>
      </c>
      <c r="U6" s="1">
        <f>BIN2DEC(CONCATENATE(D6,E6))</f>
        <v>2</v>
      </c>
      <c r="V6" s="22" t="str">
        <f>VLOOKUP(U6,Reference!A16:B19,2,FALSE)</f>
        <v xml:space="preserve">Alert </v>
      </c>
      <c r="W6" s="19" t="s">
        <v>7</v>
      </c>
      <c r="X6" s="1" t="str">
        <f>C6</f>
        <v>1</v>
      </c>
    </row>
    <row r="7" spans="1:25" x14ac:dyDescent="0.2">
      <c r="A7" s="3" t="s">
        <v>1</v>
      </c>
      <c r="B7" s="2" t="str">
        <f>HEX2BIN(D2,8)</f>
        <v>01100100</v>
      </c>
      <c r="C7" s="13" t="str">
        <f t="shared" ref="C7:C9" si="1">MID($B7,C$5+1,1)</f>
        <v>0</v>
      </c>
      <c r="D7" s="13" t="str">
        <f t="shared" si="0"/>
        <v>1</v>
      </c>
      <c r="E7" s="13" t="str">
        <f t="shared" si="0"/>
        <v>1</v>
      </c>
      <c r="F7" s="13" t="str">
        <f t="shared" si="0"/>
        <v>0</v>
      </c>
      <c r="G7" s="12" t="str">
        <f t="shared" si="0"/>
        <v>0</v>
      </c>
      <c r="H7" s="12" t="str">
        <f t="shared" si="0"/>
        <v>1</v>
      </c>
      <c r="I7" s="12" t="str">
        <f t="shared" si="0"/>
        <v>0</v>
      </c>
      <c r="J7" s="12" t="str">
        <f t="shared" si="0"/>
        <v>0</v>
      </c>
      <c r="L7" t="s">
        <v>89</v>
      </c>
      <c r="N7" s="20" t="s">
        <v>24</v>
      </c>
      <c r="O7" s="1" t="str">
        <f>CONCATENATE(G7,H7,I7,J7)</f>
        <v>0100</v>
      </c>
      <c r="P7" s="23">
        <f>BIN2DEC(CONCATENATE(X6,O7))*0.05*2.7</f>
        <v>2.7</v>
      </c>
      <c r="Q7" s="21" t="s">
        <v>23</v>
      </c>
      <c r="R7" s="1" t="str">
        <f>CONCATENATE(C7,D7,E7,F7)</f>
        <v>0110</v>
      </c>
      <c r="S7" s="24">
        <f>(BIN2DEC(R7)*6.4) - 20</f>
        <v>18.400000000000006</v>
      </c>
    </row>
    <row r="8" spans="1:25" x14ac:dyDescent="0.2">
      <c r="A8" s="3" t="s">
        <v>2</v>
      </c>
      <c r="B8" s="2" t="str">
        <f>HEX2BIN(E2,8)</f>
        <v>01100100</v>
      </c>
      <c r="C8" s="6" t="str">
        <f t="shared" si="1"/>
        <v>0</v>
      </c>
      <c r="D8" s="6" t="str">
        <f t="shared" si="0"/>
        <v>1</v>
      </c>
      <c r="E8" s="7" t="str">
        <f t="shared" si="0"/>
        <v>1</v>
      </c>
      <c r="F8" s="7" t="str">
        <f t="shared" si="0"/>
        <v>0</v>
      </c>
      <c r="G8" s="7" t="str">
        <f t="shared" si="0"/>
        <v>0</v>
      </c>
      <c r="H8" s="7" t="str">
        <f t="shared" si="0"/>
        <v>1</v>
      </c>
      <c r="I8" s="7" t="str">
        <f t="shared" si="0"/>
        <v>0</v>
      </c>
      <c r="J8" s="7" t="str">
        <f t="shared" si="0"/>
        <v>0</v>
      </c>
      <c r="L8" t="s">
        <v>89</v>
      </c>
      <c r="N8" s="18" t="s">
        <v>25</v>
      </c>
      <c r="O8" s="1" t="str">
        <f>IF(O6=1,CONCATENATE(E8,F8,G8,H8,I8,J8),"")</f>
        <v/>
      </c>
      <c r="P8" s="14" t="str">
        <f>IF(O6=1,(BIN2DEC(CONCATENATE(R7,O8))-200)/8,"")</f>
        <v/>
      </c>
      <c r="Q8" s="17" t="s">
        <v>29</v>
      </c>
      <c r="R8" s="1" t="str">
        <f>IF(O6=5,D8,"")</f>
        <v/>
      </c>
      <c r="T8" s="17" t="s">
        <v>28</v>
      </c>
      <c r="U8" s="1">
        <f>IF(O6=2,BIN2DEC(CONCATENATE(C8,D8)),"")</f>
        <v>1</v>
      </c>
      <c r="V8" s="1">
        <f>IF(O6=2,VLOOKUP(U8,Reference!A22:B25,2,FALSE),"")</f>
        <v>8</v>
      </c>
      <c r="W8" s="18" t="s">
        <v>30</v>
      </c>
      <c r="X8" s="1" t="str">
        <f>IF(O6=2,CONCATENATE(E8,F8,G8,H8,I8,J8),"")</f>
        <v>100100</v>
      </c>
      <c r="Y8" s="25">
        <f>IF(O6=2,BIN2DEC(X8)*V8*0.01,"")</f>
        <v>2.88</v>
      </c>
    </row>
    <row r="9" spans="1:25" x14ac:dyDescent="0.2">
      <c r="A9" s="3" t="s">
        <v>3</v>
      </c>
      <c r="B9" s="2" t="str">
        <f>HEX2BIN(F2,8)</f>
        <v>00011000</v>
      </c>
      <c r="C9" s="5" t="str">
        <f t="shared" si="1"/>
        <v>0</v>
      </c>
      <c r="D9" s="5" t="str">
        <f t="shared" si="0"/>
        <v>0</v>
      </c>
      <c r="E9" s="5" t="str">
        <f t="shared" si="0"/>
        <v>0</v>
      </c>
      <c r="F9" s="5" t="str">
        <f t="shared" si="0"/>
        <v>1</v>
      </c>
      <c r="G9" s="5" t="str">
        <f t="shared" si="0"/>
        <v>1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L9" t="s">
        <v>89</v>
      </c>
      <c r="N9" s="16" t="s">
        <v>26</v>
      </c>
      <c r="O9" s="1" t="str">
        <f>IF(O6=1,B9,"")</f>
        <v/>
      </c>
      <c r="P9" s="15" t="str">
        <f>IF(O6=1,BIN2DEC(O9)*0.5/100,"")</f>
        <v/>
      </c>
      <c r="Q9" s="16" t="s">
        <v>31</v>
      </c>
      <c r="R9" s="1" t="str">
        <f>IF(O6=0,BIN2DEC(CONCATENATE(C9,D9,E9)),"")</f>
        <v/>
      </c>
      <c r="T9" s="16" t="s">
        <v>32</v>
      </c>
      <c r="U9" s="1" t="str">
        <f>IF(O6=0,BIN2DEC(CONCATENATE(F9,G9,H9,I9,J9)),"")</f>
        <v/>
      </c>
      <c r="W9" s="16" t="s">
        <v>33</v>
      </c>
      <c r="X9" s="1">
        <f>IF(NOT(OR(O6=0,O6=1)),BIN2DEC(B9),"")</f>
        <v>24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C23" sqref="C23"/>
    </sheetView>
  </sheetViews>
  <sheetFormatPr baseColWidth="10" defaultRowHeight="16" x14ac:dyDescent="0.2"/>
  <cols>
    <col min="1" max="1" width="6.5" style="3" customWidth="1"/>
    <col min="2" max="2" width="16" bestFit="1" customWidth="1"/>
    <col min="3" max="3" width="15.6640625" style="2" bestFit="1" customWidth="1"/>
    <col min="4" max="4" width="12.33203125" customWidth="1"/>
    <col min="5" max="5" width="10.83203125" style="2"/>
    <col min="6" max="6" width="6.6640625" customWidth="1"/>
    <col min="7" max="13" width="6.1640625" customWidth="1"/>
  </cols>
  <sheetData>
    <row r="2" spans="1:13" x14ac:dyDescent="0.2">
      <c r="A2" s="3" t="s">
        <v>35</v>
      </c>
      <c r="F2" s="3" t="s">
        <v>88</v>
      </c>
    </row>
    <row r="3" spans="1:13" x14ac:dyDescent="0.2">
      <c r="B3" t="s">
        <v>37</v>
      </c>
      <c r="C3" s="29">
        <v>-20</v>
      </c>
      <c r="E3" s="2" t="str">
        <f>DEC2BIN(C3+20,7)</f>
        <v>0000000</v>
      </c>
    </row>
    <row r="4" spans="1:13" x14ac:dyDescent="0.2">
      <c r="B4" t="s">
        <v>36</v>
      </c>
      <c r="C4" s="29">
        <v>107</v>
      </c>
      <c r="E4" s="2" t="str">
        <f>DEC2BIN(C4+20,7)</f>
        <v>1111111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  <c r="L4" s="4" t="s">
        <v>86</v>
      </c>
      <c r="M4" s="4" t="s">
        <v>87</v>
      </c>
    </row>
    <row r="5" spans="1:13" x14ac:dyDescent="0.2">
      <c r="B5" t="s">
        <v>38</v>
      </c>
      <c r="C5" s="30" t="s">
        <v>44</v>
      </c>
      <c r="E5" s="2" t="str">
        <f>VLOOKUP(C5,Reference!E3:F6,2,FALSE)</f>
        <v xml:space="preserve">0b10 </v>
      </c>
      <c r="F5" s="5" t="str">
        <f>BIN2HEX(CONCATENATE(E3,MID(E5,4,1)),2)</f>
        <v>00</v>
      </c>
      <c r="G5" s="5" t="str">
        <f>BIN2HEX(CONCATENATE(E4,MID(E5,3,1)),2)</f>
        <v>FF</v>
      </c>
      <c r="H5" s="5" t="str">
        <f>BIN2HEX(CONCATENATE(E8,MID(E9,3,2)),2)</f>
        <v>00</v>
      </c>
      <c r="I5" s="5" t="str">
        <f>BIN2HEX(CONCATENATE(E10,MID(E11,3,2)),2)</f>
        <v>9F</v>
      </c>
      <c r="J5" s="5" t="str">
        <f>MID(E14,3,2)</f>
        <v>04</v>
      </c>
      <c r="K5" s="5" t="str">
        <f>MID(E14,5,2)</f>
        <v>02</v>
      </c>
      <c r="L5" s="5" t="str">
        <f>MID(E14,7,2)</f>
        <v>73</v>
      </c>
      <c r="M5" s="5" t="str">
        <f>BIN2HEX(CONCATENATE(E17,E20),2)</f>
        <v>2D</v>
      </c>
    </row>
    <row r="7" spans="1:13" x14ac:dyDescent="0.2">
      <c r="A7" s="3" t="s">
        <v>48</v>
      </c>
    </row>
    <row r="8" spans="1:13" x14ac:dyDescent="0.2">
      <c r="B8" t="s">
        <v>49</v>
      </c>
      <c r="C8" s="30">
        <v>0</v>
      </c>
      <c r="D8" s="25">
        <f>C8*C9</f>
        <v>0</v>
      </c>
      <c r="E8" s="2" t="str">
        <f>DEC2BIN(C8,6)</f>
        <v>000000</v>
      </c>
    </row>
    <row r="9" spans="1:13" x14ac:dyDescent="0.2">
      <c r="B9" t="s">
        <v>50</v>
      </c>
      <c r="C9" s="30">
        <v>1</v>
      </c>
      <c r="E9" s="2" t="str">
        <f>VLOOKUP(C9,Reference!$E$9:$F$12,2,FALSE)</f>
        <v xml:space="preserve">0b00 </v>
      </c>
    </row>
    <row r="10" spans="1:13" x14ac:dyDescent="0.2">
      <c r="B10" t="s">
        <v>36</v>
      </c>
      <c r="C10" s="30">
        <v>39</v>
      </c>
      <c r="D10" s="25">
        <f>C10*C11*0.01</f>
        <v>785.46</v>
      </c>
      <c r="E10" s="2" t="str">
        <f>DEC2BIN(C10,6)</f>
        <v>100111</v>
      </c>
    </row>
    <row r="11" spans="1:13" x14ac:dyDescent="0.2">
      <c r="B11" t="s">
        <v>51</v>
      </c>
      <c r="C11" s="30">
        <v>2014</v>
      </c>
      <c r="E11" s="2" t="str">
        <f>VLOOKUP(C11,Reference!$E$9:$F$12,2,FALSE)</f>
        <v xml:space="preserve">0b11 </v>
      </c>
    </row>
    <row r="13" spans="1:13" x14ac:dyDescent="0.2">
      <c r="A13" s="3" t="s">
        <v>54</v>
      </c>
    </row>
    <row r="14" spans="1:13" x14ac:dyDescent="0.2">
      <c r="B14" t="s">
        <v>55</v>
      </c>
      <c r="C14" s="30" t="s">
        <v>61</v>
      </c>
      <c r="E14" s="2" t="str">
        <f>VLOOKUP(C14,Reference!E16:F20,2,FALSE)</f>
        <v xml:space="preserve">0x040273 </v>
      </c>
    </row>
    <row r="16" spans="1:13" x14ac:dyDescent="0.2">
      <c r="A16" s="3" t="s">
        <v>67</v>
      </c>
    </row>
    <row r="17" spans="1:5" x14ac:dyDescent="0.2">
      <c r="B17" t="s">
        <v>55</v>
      </c>
      <c r="C17" s="30" t="s">
        <v>68</v>
      </c>
      <c r="E17" s="2" t="str">
        <f>HEX2BIN(MID(VLOOKUP(C17,Reference!E23:F25,2,FALSE),3,2),7)</f>
        <v>0010110</v>
      </c>
    </row>
    <row r="19" spans="1:5" x14ac:dyDescent="0.2">
      <c r="A19" s="3" t="s">
        <v>75</v>
      </c>
    </row>
    <row r="20" spans="1:5" x14ac:dyDescent="0.2">
      <c r="B20" t="s">
        <v>76</v>
      </c>
      <c r="C20" s="30" t="s">
        <v>77</v>
      </c>
      <c r="E20" s="2">
        <f>VLOOKUP(C20,Reference!E27:F28,2,FALSE)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Reference!$E$3:$E$6</xm:f>
          </x14:formula1>
          <xm:sqref>C5</xm:sqref>
        </x14:dataValidation>
        <x14:dataValidation type="list" allowBlank="1" showInputMessage="1" showErrorMessage="1">
          <x14:formula1>
            <xm:f>Reference!$E$9:$E$12</xm:f>
          </x14:formula1>
          <xm:sqref>C9 C11</xm:sqref>
        </x14:dataValidation>
        <x14:dataValidation type="list" allowBlank="1" showInputMessage="1" showErrorMessage="1">
          <x14:formula1>
            <xm:f>Reference!$E$16:$E$20</xm:f>
          </x14:formula1>
          <xm:sqref>C14</xm:sqref>
        </x14:dataValidation>
        <x14:dataValidation type="list" allowBlank="1" showInputMessage="1" showErrorMessage="1">
          <x14:formula1>
            <xm:f>Reference!$E$23:$E$25</xm:f>
          </x14:formula1>
          <xm:sqref>C17</xm:sqref>
        </x14:dataValidation>
        <x14:dataValidation type="list" allowBlank="1" showInputMessage="1" showErrorMessage="1">
          <x14:formula1>
            <xm:f>Reference!E27:E28</xm:f>
          </x14:formula1>
          <xm:sqref>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4</v>
      </c>
      <c r="E1" t="s">
        <v>39</v>
      </c>
    </row>
    <row r="2" spans="1:6" x14ac:dyDescent="0.2">
      <c r="A2">
        <v>0</v>
      </c>
      <c r="B2" s="9" t="s">
        <v>8</v>
      </c>
    </row>
    <row r="3" spans="1:6" x14ac:dyDescent="0.2">
      <c r="A3">
        <v>1</v>
      </c>
      <c r="B3" s="9" t="s">
        <v>9</v>
      </c>
      <c r="E3" s="27" t="s">
        <v>40</v>
      </c>
      <c r="F3" s="10" t="s">
        <v>47</v>
      </c>
    </row>
    <row r="4" spans="1:6" x14ac:dyDescent="0.2">
      <c r="A4">
        <v>2</v>
      </c>
      <c r="B4" s="9" t="s">
        <v>10</v>
      </c>
      <c r="E4" s="27" t="s">
        <v>42</v>
      </c>
      <c r="F4" s="28" t="s">
        <v>41</v>
      </c>
    </row>
    <row r="5" spans="1:6" x14ac:dyDescent="0.2">
      <c r="A5">
        <v>3</v>
      </c>
      <c r="B5" s="9" t="s">
        <v>11</v>
      </c>
      <c r="E5" s="27" t="s">
        <v>44</v>
      </c>
      <c r="F5" s="28" t="s">
        <v>43</v>
      </c>
    </row>
    <row r="6" spans="1:6" x14ac:dyDescent="0.2">
      <c r="A6">
        <v>4</v>
      </c>
      <c r="B6" s="9" t="s">
        <v>12</v>
      </c>
      <c r="E6" s="27" t="s">
        <v>46</v>
      </c>
      <c r="F6" s="28" t="s">
        <v>45</v>
      </c>
    </row>
    <row r="7" spans="1:6" x14ac:dyDescent="0.2">
      <c r="A7">
        <v>5</v>
      </c>
      <c r="B7" s="9" t="s">
        <v>13</v>
      </c>
      <c r="E7" s="28"/>
      <c r="F7" s="27"/>
    </row>
    <row r="8" spans="1:6" x14ac:dyDescent="0.2">
      <c r="B8" s="9"/>
      <c r="E8" s="27" t="s">
        <v>53</v>
      </c>
    </row>
    <row r="9" spans="1:6" x14ac:dyDescent="0.2">
      <c r="A9" t="s">
        <v>14</v>
      </c>
      <c r="E9" s="27">
        <v>1</v>
      </c>
      <c r="F9" s="28" t="s">
        <v>52</v>
      </c>
    </row>
    <row r="10" spans="1:6" x14ac:dyDescent="0.2">
      <c r="A10" s="10">
        <v>0</v>
      </c>
      <c r="B10" s="11" t="s">
        <v>15</v>
      </c>
      <c r="E10" s="27">
        <v>8</v>
      </c>
      <c r="F10" s="28" t="s">
        <v>41</v>
      </c>
    </row>
    <row r="11" spans="1:6" x14ac:dyDescent="0.2">
      <c r="A11" s="11">
        <v>1</v>
      </c>
      <c r="B11" s="11" t="s">
        <v>16</v>
      </c>
      <c r="E11" s="27">
        <v>64</v>
      </c>
      <c r="F11" s="28" t="s">
        <v>43</v>
      </c>
    </row>
    <row r="12" spans="1:6" x14ac:dyDescent="0.2">
      <c r="A12" s="11">
        <v>2</v>
      </c>
      <c r="B12" s="11" t="s">
        <v>17</v>
      </c>
      <c r="E12" s="27">
        <v>2014</v>
      </c>
      <c r="F12" s="28" t="s">
        <v>45</v>
      </c>
    </row>
    <row r="13" spans="1:6" x14ac:dyDescent="0.2">
      <c r="A13" s="11">
        <v>3</v>
      </c>
      <c r="B13" s="11" t="s">
        <v>18</v>
      </c>
    </row>
    <row r="14" spans="1:6" x14ac:dyDescent="0.2">
      <c r="A14" s="11"/>
      <c r="B14" s="11"/>
    </row>
    <row r="15" spans="1:6" x14ac:dyDescent="0.2">
      <c r="A15" t="s">
        <v>6</v>
      </c>
      <c r="E15" t="s">
        <v>66</v>
      </c>
    </row>
    <row r="16" spans="1:6" x14ac:dyDescent="0.2">
      <c r="A16" s="10">
        <v>0</v>
      </c>
      <c r="B16" s="11" t="s">
        <v>19</v>
      </c>
      <c r="E16" s="27" t="s">
        <v>57</v>
      </c>
      <c r="F16" s="28" t="s">
        <v>56</v>
      </c>
    </row>
    <row r="17" spans="1:6" x14ac:dyDescent="0.2">
      <c r="A17" s="11">
        <v>1</v>
      </c>
      <c r="B17" s="11" t="s">
        <v>20</v>
      </c>
      <c r="E17" s="27" t="s">
        <v>59</v>
      </c>
      <c r="F17" s="28" t="s">
        <v>58</v>
      </c>
    </row>
    <row r="18" spans="1:6" x14ac:dyDescent="0.2">
      <c r="A18" s="11">
        <v>2</v>
      </c>
      <c r="B18" s="11" t="s">
        <v>21</v>
      </c>
      <c r="E18" s="27" t="s">
        <v>61</v>
      </c>
      <c r="F18" s="28" t="s">
        <v>60</v>
      </c>
    </row>
    <row r="19" spans="1:6" x14ac:dyDescent="0.2">
      <c r="A19" s="11">
        <v>3</v>
      </c>
      <c r="B19" s="11" t="s">
        <v>22</v>
      </c>
      <c r="E19" s="27" t="s">
        <v>63</v>
      </c>
      <c r="F19" s="28" t="s">
        <v>62</v>
      </c>
    </row>
    <row r="20" spans="1:6" x14ac:dyDescent="0.2">
      <c r="A20" s="11"/>
      <c r="B20" s="11"/>
      <c r="E20" s="27" t="s">
        <v>65</v>
      </c>
      <c r="F20" s="28" t="s">
        <v>64</v>
      </c>
    </row>
    <row r="21" spans="1:6" x14ac:dyDescent="0.2">
      <c r="A21" t="s">
        <v>28</v>
      </c>
      <c r="E21" s="28"/>
      <c r="F21" s="27"/>
    </row>
    <row r="22" spans="1:6" x14ac:dyDescent="0.2">
      <c r="A22" s="11">
        <v>0</v>
      </c>
      <c r="B22" s="11">
        <v>1</v>
      </c>
      <c r="E22" s="27" t="s">
        <v>74</v>
      </c>
    </row>
    <row r="23" spans="1:6" x14ac:dyDescent="0.2">
      <c r="A23" s="11">
        <v>1</v>
      </c>
      <c r="B23" s="11">
        <v>8</v>
      </c>
      <c r="E23" t="s">
        <v>68</v>
      </c>
      <c r="F23" s="26" t="s">
        <v>71</v>
      </c>
    </row>
    <row r="24" spans="1:6" x14ac:dyDescent="0.2">
      <c r="A24" s="11">
        <v>2</v>
      </c>
      <c r="B24" s="11">
        <v>64</v>
      </c>
      <c r="E24" t="s">
        <v>69</v>
      </c>
      <c r="F24" t="s">
        <v>72</v>
      </c>
    </row>
    <row r="25" spans="1:6" x14ac:dyDescent="0.2">
      <c r="A25" s="11">
        <v>3</v>
      </c>
      <c r="B25" s="11">
        <v>2014</v>
      </c>
      <c r="E25" t="s">
        <v>70</v>
      </c>
      <c r="F25" s="28" t="s">
        <v>73</v>
      </c>
    </row>
    <row r="26" spans="1:6" x14ac:dyDescent="0.2">
      <c r="A26" s="11"/>
      <c r="B26" s="11"/>
      <c r="E26" t="s">
        <v>79</v>
      </c>
    </row>
    <row r="27" spans="1:6" x14ac:dyDescent="0.2">
      <c r="E27" t="s">
        <v>77</v>
      </c>
      <c r="F27">
        <v>1</v>
      </c>
    </row>
    <row r="28" spans="1:6" x14ac:dyDescent="0.2">
      <c r="E28" t="s">
        <v>78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Uplink</vt:lpstr>
      <vt:lpstr>Downlink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2017-06-29T07:06:00Z</dcterms:created>
  <dcterms:modified xsi:type="dcterms:W3CDTF">2017-10-24T02:07:51Z</dcterms:modified>
</cp:coreProperties>
</file>