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/>
  <xr:revisionPtr revIDLastSave="0" documentId="13_ncr:1_{A6B84F94-AFD2-4F8E-AE53-42B49B5FAAD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Enunciado" sheetId="1" r:id="rId1"/>
    <sheet name="Matriz Probabilidad-Impacto" sheetId="2" r:id="rId2"/>
    <sheet name="EM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D7" i="1"/>
  <c r="E9" i="1"/>
  <c r="E10" i="1"/>
  <c r="E11" i="1"/>
  <c r="E12" i="1"/>
  <c r="E13" i="1"/>
  <c r="E14" i="1"/>
  <c r="D8" i="1" l="1"/>
  <c r="F17" i="3" l="1"/>
  <c r="I14" i="3"/>
  <c r="F10" i="3"/>
  <c r="F6" i="3"/>
  <c r="E15" i="1"/>
  <c r="D15" i="1"/>
  <c r="D14" i="1"/>
  <c r="D13" i="1"/>
  <c r="D12" i="1"/>
  <c r="D11" i="1"/>
  <c r="D10" i="1"/>
  <c r="D9" i="1"/>
  <c r="D4" i="2" s="1"/>
  <c r="I2" i="3"/>
  <c r="C7" i="2" l="1"/>
  <c r="C6" i="2"/>
  <c r="C4" i="2"/>
  <c r="C5" i="2"/>
  <c r="C8" i="2"/>
  <c r="E6" i="2"/>
  <c r="F7" i="2"/>
  <c r="D8" i="2"/>
  <c r="B7" i="2"/>
  <c r="E8" i="2"/>
  <c r="F5" i="2"/>
  <c r="D6" i="2"/>
  <c r="B6" i="2"/>
  <c r="D7" i="2"/>
  <c r="E7" i="2"/>
  <c r="B8" i="2"/>
  <c r="E4" i="2"/>
  <c r="F4" i="2"/>
  <c r="B5" i="2"/>
  <c r="E5" i="2"/>
  <c r="D5" i="2"/>
  <c r="F6" i="2"/>
  <c r="B4" i="2"/>
  <c r="F8" i="2"/>
  <c r="I22" i="3"/>
  <c r="I20" i="3"/>
  <c r="I18" i="3"/>
  <c r="I16" i="3"/>
  <c r="I12" i="3"/>
  <c r="I10" i="3"/>
  <c r="I8" i="3"/>
  <c r="I6" i="3"/>
  <c r="I4" i="3"/>
  <c r="F21" i="3"/>
  <c r="C11" i="2" l="1"/>
  <c r="F19" i="3"/>
  <c r="F4" i="3"/>
  <c r="F15" i="3"/>
  <c r="F8" i="3"/>
  <c r="F26" i="3" l="1"/>
</calcChain>
</file>

<file path=xl/sharedStrings.xml><?xml version="1.0" encoding="utf-8"?>
<sst xmlns="http://schemas.openxmlformats.org/spreadsheetml/2006/main" count="99" uniqueCount="77">
  <si>
    <t>Inserta tu DNI en esta celda (sin letra):</t>
  </si>
  <si>
    <t>DNI</t>
  </si>
  <si>
    <t>Riesgo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</si>
  <si>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</si>
  <si>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</si>
  <si>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</si>
  <si>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</si>
  <si>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</si>
  <si>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</si>
  <si>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</si>
  <si>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</si>
  <si>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</si>
  <si>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Muy bajo</t>
  </si>
  <si>
    <t>Medio</t>
  </si>
  <si>
    <t>Bajo</t>
  </si>
  <si>
    <t xml:space="preserve">Alto </t>
  </si>
  <si>
    <t>Muy alto</t>
  </si>
  <si>
    <t>incremento &lt; 10%</t>
  </si>
  <si>
    <t>incremento &lt; 20%</t>
  </si>
  <si>
    <t>Probabilidad ocurrencia</t>
  </si>
  <si>
    <t>* En un proyecto X se han identificado 9 riesgos.</t>
  </si>
  <si>
    <r>
      <rPr>
        <sz val="14"/>
        <color theme="1"/>
        <rFont val="Calibri"/>
        <family val="2"/>
        <scheme val="minor"/>
      </rPr>
      <t xml:space="preserve">* </t>
    </r>
    <r>
      <rPr>
        <b/>
        <sz val="14"/>
        <color theme="1"/>
        <rFont val="Calibri"/>
        <family val="2"/>
        <scheme val="minor"/>
      </rPr>
      <t>Constesta los siguientes apartados:</t>
    </r>
  </si>
  <si>
    <t>Matriz Probabilidad-Impacto</t>
  </si>
  <si>
    <t>Muy baja</t>
  </si>
  <si>
    <t>baja</t>
  </si>
  <si>
    <t>Media</t>
  </si>
  <si>
    <t>Alta</t>
  </si>
  <si>
    <t>Muy Alta</t>
  </si>
  <si>
    <t>Probabilidad\Impacto</t>
  </si>
  <si>
    <t>Baja</t>
  </si>
  <si>
    <t>Muy alta</t>
  </si>
  <si>
    <t xml:space="preserve">  b) Realiza una priorización de los requisitos de mayor a menor prioridad en base al coste.</t>
  </si>
  <si>
    <t>* Un primer análisis de los mismos nos lleva a evaluar la probabilidad de ocurrencia y el impacto en el coste de los mismos (Véase la tabla de arriba).</t>
  </si>
  <si>
    <t>Opción 2 : Producir un Producto nuevo de forma rápida</t>
  </si>
  <si>
    <t>Opción 1 : Producir un Producto nuevo con un desarrollo completo</t>
  </si>
  <si>
    <t>Opción 3 : Consolidar los productos existentes mejorándolos</t>
  </si>
  <si>
    <t>Opción 4 : Consolidad los productos existentes mediante publicidad</t>
  </si>
  <si>
    <t>Dependiento de la calidad de el nuevo producto generado o de la calidad de la consolidación del producto tendremos diferentes beneficios.</t>
  </si>
  <si>
    <t>Nuevo Producto</t>
  </si>
  <si>
    <t>o Consolidar</t>
  </si>
  <si>
    <t>Nuevo producto</t>
  </si>
  <si>
    <t>Consolidar</t>
  </si>
  <si>
    <t>Desarrollo completo</t>
  </si>
  <si>
    <t>Desarrollo rápido</t>
  </si>
  <si>
    <t>Mejorar productos</t>
  </si>
  <si>
    <t>Aumentar publicidad</t>
  </si>
  <si>
    <t>Buena</t>
  </si>
  <si>
    <t>Calidad</t>
  </si>
  <si>
    <t>Opciones</t>
  </si>
  <si>
    <t xml:space="preserve">Coste = </t>
  </si>
  <si>
    <t>Prob. (%)</t>
  </si>
  <si>
    <t>Beneficio Neto</t>
  </si>
  <si>
    <t>Beneficio en ventas =</t>
  </si>
  <si>
    <r>
      <t xml:space="preserve">  D) </t>
    </r>
    <r>
      <rPr>
        <b/>
        <sz val="14"/>
        <color theme="1"/>
        <rFont val="Calibri"/>
        <family val="2"/>
        <scheme val="minor"/>
      </rPr>
      <t>Determinar cual de las opciones es más ventajosa utilizando la técnica EMV.</t>
    </r>
  </si>
  <si>
    <t xml:space="preserve">  C) Completa los beneficios netos que se optienen de cada opción (Beneficio neto = Beneficio ventas - coste) en la hoja "EMV".</t>
  </si>
  <si>
    <t>(3 puntos)</t>
  </si>
  <si>
    <t>(2 puntos)</t>
  </si>
  <si>
    <t xml:space="preserve">  a) Completa la matriz de probabilidad-impacto (sobre el coste) que aparace en la hoja "Matriz Probabilidad-impacto".</t>
  </si>
  <si>
    <t>* Una empresa quiere utilizar el método de "análisis del valor monetario esperado (EMV)" para decidir entre las siguientes opciones:</t>
  </si>
  <si>
    <t>En la hoja "EMV" aparece el gráfico donde se representan las diferentes opciones con sus costes, probabilidades y beneficios esperados:</t>
  </si>
  <si>
    <t>Muy  baja</t>
  </si>
  <si>
    <t>Escalas numéricas y cualitativas</t>
  </si>
  <si>
    <t>Prob. Ocurrencia</t>
  </si>
  <si>
    <t>0 - 5%</t>
  </si>
  <si>
    <t>15-24%</t>
  </si>
  <si>
    <t>6-14%</t>
  </si>
  <si>
    <t>25-39%</t>
  </si>
  <si>
    <t>40-100%</t>
  </si>
  <si>
    <t>Incremento en el coste</t>
  </si>
  <si>
    <t>Indice de impacto</t>
  </si>
  <si>
    <t>Indice de probabilidad</t>
  </si>
  <si>
    <t>incremento &lt; 5%</t>
  </si>
  <si>
    <t>Nodo posibilidad</t>
  </si>
  <si>
    <t>Nodo decisión</t>
  </si>
  <si>
    <t>incremento &lt; 30%</t>
  </si>
  <si>
    <t>incremento &gt;= 30%</t>
  </si>
  <si>
    <t>Mejor Opción: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</si>
</sst>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€&quot;"/>
    <numFmt numFmtId="165" formatCode="0.0%"/>
    <numFmt numFmtId="166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9" tint="-0.499984740745262"/>
      <name val="Calibri"/>
      <family val="2"/>
      <scheme val="minor"/>
    </font>
    <font>
      <sz val="11"/>
      <color rgb="FF231F2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charset val="1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FFFFCC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8" fillId="0" borderId="0"/>
    <xf numFmtId="0" fontId="19" fillId="2" borderId="0" applyNumberFormat="0" applyBorder="0" applyAlignment="0" applyProtection="0"/>
    <xf numFmtId="0" fontId="23" fillId="0" borderId="0"/>
    <xf numFmtId="166" fontId="23" fillId="0" borderId="0" applyFont="0" applyFill="0" applyBorder="0" applyAlignment="0" applyProtection="0"/>
    <xf numFmtId="0" fontId="18" fillId="0" borderId="0"/>
    <xf numFmtId="0" fontId="24" fillId="3" borderId="0" applyBorder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/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5" fillId="0" borderId="0" xfId="0" applyFont="1"/>
    <xf numFmtId="0" fontId="14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6" fillId="0" borderId="0" xfId="0" applyFont="1"/>
    <xf numFmtId="0" fontId="15" fillId="0" borderId="3" xfId="0" applyFont="1" applyBorder="1"/>
    <xf numFmtId="0" fontId="11" fillId="0" borderId="0" xfId="0" applyFont="1"/>
    <xf numFmtId="0" fontId="17" fillId="0" borderId="0" xfId="0" applyFont="1" applyAlignment="1">
      <alignment horizontal="left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25" fillId="0" borderId="3" xfId="0" applyFont="1" applyBorder="1"/>
    <xf numFmtId="0" fontId="25" fillId="0" borderId="0" xfId="0" applyFont="1"/>
  </cellXfs>
  <cellStyles count="7">
    <cellStyle name="Moneda 2" xfId="4" xr:uid="{C28A16EF-683C-4BC0-81C2-B2E1C2EC3F13}"/>
    <cellStyle name="Neutral 2" xfId="2" xr:uid="{9D9C93EE-7514-4B14-B7F0-142CA3895408}"/>
    <cellStyle name="Neutral 2 2" xfId="6" xr:uid="{897FDEA1-8C3B-40FA-AF9E-1DE38DD155CB}"/>
    <cellStyle name="Normal" xfId="0" builtinId="0"/>
    <cellStyle name="Normal 2" xfId="1" xr:uid="{9258D96C-71DB-41F3-9387-519F849DCA93}"/>
    <cellStyle name="Normal 3" xfId="3" xr:uid="{0B219392-7A7B-4CD7-AE9E-B802854E6FBB}"/>
    <cellStyle name="Texto explicativo 2" xfId="5" xr:uid="{EF85FBB0-4872-49F7-8725-EBD4AC388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106680</xdr:rowOff>
    </xdr:from>
    <xdr:to>
      <xdr:col>2</xdr:col>
      <xdr:colOff>777240</xdr:colOff>
      <xdr:row>11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BE5E8E0-2B64-480E-ADBA-402C6460F585}"/>
            </a:ext>
          </a:extLst>
        </xdr:cNvPr>
        <xdr:cNvCxnSpPr/>
      </xdr:nvCxnSpPr>
      <xdr:spPr>
        <a:xfrm flipV="1">
          <a:off x="1958340" y="1203960"/>
          <a:ext cx="777240" cy="8686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13</xdr:row>
      <xdr:rowOff>15240</xdr:rowOff>
    </xdr:from>
    <xdr:to>
      <xdr:col>2</xdr:col>
      <xdr:colOff>784860</xdr:colOff>
      <xdr:row>17</xdr:row>
      <xdr:rowOff>99060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42BFF48-9CE9-475E-AC81-1252E6E4A6CC}"/>
            </a:ext>
          </a:extLst>
        </xdr:cNvPr>
        <xdr:cNvCxnSpPr/>
      </xdr:nvCxnSpPr>
      <xdr:spPr>
        <a:xfrm>
          <a:off x="1965960" y="2087880"/>
          <a:ext cx="777240" cy="876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83820</xdr:rowOff>
    </xdr:from>
    <xdr:to>
      <xdr:col>5</xdr:col>
      <xdr:colOff>7620</xdr:colOff>
      <xdr:row>6</xdr:row>
      <xdr:rowOff>68580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8EAD449-1F12-41A8-A2B0-F9E115F9EDA1}"/>
            </a:ext>
          </a:extLst>
        </xdr:cNvPr>
        <xdr:cNvCxnSpPr/>
      </xdr:nvCxnSpPr>
      <xdr:spPr>
        <a:xfrm flipV="1">
          <a:off x="3886200" y="906780"/>
          <a:ext cx="800100" cy="4114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91440</xdr:rowOff>
    </xdr:from>
    <xdr:to>
      <xdr:col>5</xdr:col>
      <xdr:colOff>0</xdr:colOff>
      <xdr:row>8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DAD8DED2-0688-4EFC-A640-EF541DA32A75}"/>
            </a:ext>
          </a:extLst>
        </xdr:cNvPr>
        <xdr:cNvCxnSpPr/>
      </xdr:nvCxnSpPr>
      <xdr:spPr>
        <a:xfrm>
          <a:off x="3886200" y="1188720"/>
          <a:ext cx="79248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15</xdr:row>
      <xdr:rowOff>114300</xdr:rowOff>
    </xdr:from>
    <xdr:to>
      <xdr:col>5</xdr:col>
      <xdr:colOff>15240</xdr:colOff>
      <xdr:row>17</xdr:row>
      <xdr:rowOff>68580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D5A71ED-F9A4-4642-9B92-53021DC4E0AE}"/>
            </a:ext>
          </a:extLst>
        </xdr:cNvPr>
        <xdr:cNvCxnSpPr/>
      </xdr:nvCxnSpPr>
      <xdr:spPr>
        <a:xfrm flipV="1">
          <a:off x="3893820" y="2583180"/>
          <a:ext cx="800100" cy="350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17</xdr:row>
      <xdr:rowOff>76200</xdr:rowOff>
    </xdr:from>
    <xdr:to>
      <xdr:col>5</xdr:col>
      <xdr:colOff>22860</xdr:colOff>
      <xdr:row>19</xdr:row>
      <xdr:rowOff>114300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4C96467B-A966-4242-A876-A6D8157D5BBF}"/>
            </a:ext>
          </a:extLst>
        </xdr:cNvPr>
        <xdr:cNvCxnSpPr/>
      </xdr:nvCxnSpPr>
      <xdr:spPr>
        <a:xfrm>
          <a:off x="3909060" y="2941320"/>
          <a:ext cx="79248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1417320</xdr:colOff>
      <xdr:row>1</xdr:row>
      <xdr:rowOff>137160</xdr:rowOff>
    </xdr:from>
    <xdr:to>
      <xdr:col>6</xdr:col>
      <xdr:colOff>784860</xdr:colOff>
      <xdr:row>4</xdr:row>
      <xdr:rowOff>83820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652FA68-A4D6-45C5-AF61-478A783401F8}"/>
            </a:ext>
          </a:extLst>
        </xdr:cNvPr>
        <xdr:cNvCxnSpPr/>
      </xdr:nvCxnSpPr>
      <xdr:spPr>
        <a:xfrm flipV="1">
          <a:off x="6096000" y="335280"/>
          <a:ext cx="792480" cy="5410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1394460</xdr:colOff>
      <xdr:row>3</xdr:row>
      <xdr:rowOff>83820</xdr:rowOff>
    </xdr:from>
    <xdr:to>
      <xdr:col>7</xdr:col>
      <xdr:colOff>0</xdr:colOff>
      <xdr:row>4</xdr:row>
      <xdr:rowOff>106680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BECE533-E2F3-493E-BE08-6BDA4C38F9F6}"/>
            </a:ext>
          </a:extLst>
        </xdr:cNvPr>
        <xdr:cNvCxnSpPr/>
      </xdr:nvCxnSpPr>
      <xdr:spPr>
        <a:xfrm flipV="1">
          <a:off x="6073140" y="678180"/>
          <a:ext cx="8229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4</xdr:row>
      <xdr:rowOff>99060</xdr:rowOff>
    </xdr:from>
    <xdr:to>
      <xdr:col>7</xdr:col>
      <xdr:colOff>7620</xdr:colOff>
      <xdr:row>5</xdr:row>
      <xdr:rowOff>91440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2BAA8EE-6AE5-4A8D-A50D-B85054D271B9}"/>
            </a:ext>
          </a:extLst>
        </xdr:cNvPr>
        <xdr:cNvCxnSpPr/>
      </xdr:nvCxnSpPr>
      <xdr:spPr>
        <a:xfrm>
          <a:off x="6118860" y="891540"/>
          <a:ext cx="78486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1417320</xdr:colOff>
      <xdr:row>7</xdr:row>
      <xdr:rowOff>68580</xdr:rowOff>
    </xdr:from>
    <xdr:to>
      <xdr:col>7</xdr:col>
      <xdr:colOff>22860</xdr:colOff>
      <xdr:row>8</xdr:row>
      <xdr:rowOff>91440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14C39260-CD67-4854-BCEE-40C8374D034F}"/>
            </a:ext>
          </a:extLst>
        </xdr:cNvPr>
        <xdr:cNvCxnSpPr/>
      </xdr:nvCxnSpPr>
      <xdr:spPr>
        <a:xfrm flipV="1">
          <a:off x="6096000" y="1455420"/>
          <a:ext cx="822960" cy="2209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106680</xdr:rowOff>
    </xdr:from>
    <xdr:to>
      <xdr:col>7</xdr:col>
      <xdr:colOff>0</xdr:colOff>
      <xdr:row>9</xdr:row>
      <xdr:rowOff>114300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A996746-BF27-4C9B-896E-22E4918B66AF}"/>
            </a:ext>
          </a:extLst>
        </xdr:cNvPr>
        <xdr:cNvCxnSpPr/>
      </xdr:nvCxnSpPr>
      <xdr:spPr>
        <a:xfrm>
          <a:off x="6103620" y="1691640"/>
          <a:ext cx="792480" cy="2057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106680</xdr:rowOff>
    </xdr:from>
    <xdr:to>
      <xdr:col>7</xdr:col>
      <xdr:colOff>7620</xdr:colOff>
      <xdr:row>11</xdr:row>
      <xdr:rowOff>83820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6F0A25F-B243-44AE-AE23-561049FA2BFA}"/>
            </a:ext>
          </a:extLst>
        </xdr:cNvPr>
        <xdr:cNvCxnSpPr/>
      </xdr:nvCxnSpPr>
      <xdr:spPr>
        <a:xfrm>
          <a:off x="6111240" y="1691640"/>
          <a:ext cx="792480" cy="571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106680</xdr:rowOff>
    </xdr:from>
    <xdr:to>
      <xdr:col>7</xdr:col>
      <xdr:colOff>7620</xdr:colOff>
      <xdr:row>9</xdr:row>
      <xdr:rowOff>114300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AE736BE-2597-4A31-99D7-EF41A272514F}"/>
            </a:ext>
          </a:extLst>
        </xdr:cNvPr>
        <xdr:cNvCxnSpPr/>
      </xdr:nvCxnSpPr>
      <xdr:spPr>
        <a:xfrm>
          <a:off x="6111240" y="1691640"/>
          <a:ext cx="792480" cy="2057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14</xdr:row>
      <xdr:rowOff>15364</xdr:rowOff>
    </xdr:from>
    <xdr:to>
      <xdr:col>7</xdr:col>
      <xdr:colOff>46089</xdr:colOff>
      <xdr:row>15</xdr:row>
      <xdr:rowOff>130585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FEE27B7A-57E5-4339-BB03-A73795C929FC}"/>
            </a:ext>
          </a:extLst>
        </xdr:cNvPr>
        <xdr:cNvCxnSpPr/>
      </xdr:nvCxnSpPr>
      <xdr:spPr>
        <a:xfrm flipV="1">
          <a:off x="6283427" y="2926634"/>
          <a:ext cx="791190" cy="3149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1374980</xdr:colOff>
      <xdr:row>15</xdr:row>
      <xdr:rowOff>138266</xdr:rowOff>
    </xdr:from>
    <xdr:to>
      <xdr:col>7</xdr:col>
      <xdr:colOff>15363</xdr:colOff>
      <xdr:row>16</xdr:row>
      <xdr:rowOff>15363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CA6FF7D3-CABE-48CF-ABC0-E66FAAC72886}"/>
            </a:ext>
          </a:extLst>
        </xdr:cNvPr>
        <xdr:cNvCxnSpPr/>
      </xdr:nvCxnSpPr>
      <xdr:spPr>
        <a:xfrm>
          <a:off x="6260383" y="3249254"/>
          <a:ext cx="783508" cy="768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1379220</xdr:colOff>
      <xdr:row>15</xdr:row>
      <xdr:rowOff>121920</xdr:rowOff>
    </xdr:from>
    <xdr:to>
      <xdr:col>7</xdr:col>
      <xdr:colOff>0</xdr:colOff>
      <xdr:row>17</xdr:row>
      <xdr:rowOff>23044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8CB0FBBF-0229-494F-BB1B-52C4F91E387D}"/>
            </a:ext>
          </a:extLst>
        </xdr:cNvPr>
        <xdr:cNvCxnSpPr/>
      </xdr:nvCxnSpPr>
      <xdr:spPr>
        <a:xfrm>
          <a:off x="6264623" y="3232908"/>
          <a:ext cx="763905" cy="3389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19</xdr:row>
      <xdr:rowOff>145948</xdr:rowOff>
    </xdr:from>
    <xdr:to>
      <xdr:col>6</xdr:col>
      <xdr:colOff>752782</xdr:colOff>
      <xdr:row>20</xdr:row>
      <xdr:rowOff>23044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062905A8-274A-4014-88B3-0EC7F957AE64}"/>
            </a:ext>
          </a:extLst>
        </xdr:cNvPr>
        <xdr:cNvCxnSpPr/>
      </xdr:nvCxnSpPr>
      <xdr:spPr>
        <a:xfrm flipV="1">
          <a:off x="6283427" y="4094214"/>
          <a:ext cx="737420" cy="768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15362</xdr:colOff>
      <xdr:row>20</xdr:row>
      <xdr:rowOff>30726</xdr:rowOff>
    </xdr:from>
    <xdr:to>
      <xdr:col>7</xdr:col>
      <xdr:colOff>0</xdr:colOff>
      <xdr:row>22</xdr:row>
      <xdr:rowOff>7681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5B94D324-34B5-4F8C-8795-7677B14FA390}"/>
            </a:ext>
          </a:extLst>
        </xdr:cNvPr>
        <xdr:cNvCxnSpPr/>
      </xdr:nvCxnSpPr>
      <xdr:spPr>
        <a:xfrm>
          <a:off x="6283427" y="4178710"/>
          <a:ext cx="745101" cy="4147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87" zoomScaleNormal="87" workbookViewId="0">
      <selection activeCell="C4" sqref="C4"/>
    </sheetView>
  </sheetViews>
  <sheetFormatPr baseColWidth="10" defaultColWidth="8.85546875" defaultRowHeight="15" x14ac:dyDescent="0.25"/>
  <cols>
    <col min="3" max="3" width="12.5703125" customWidth="1"/>
    <col min="4" max="4" width="21.7109375" customWidth="1"/>
    <col min="5" max="5" width="25" customWidth="1"/>
    <col min="6" max="6" width="12.140625" customWidth="1"/>
    <col min="7" max="7" width="25" customWidth="1"/>
    <col min="8" max="8" width="15.7109375" customWidth="1"/>
    <col min="9" max="9" width="16.85546875" customWidth="1"/>
    <col min="10" max="10" width="17.140625" customWidth="1"/>
    <col min="11" max="11" width="18.28515625" customWidth="1"/>
    <col min="12" max="13" width="18.42578125" customWidth="1"/>
  </cols>
  <sheetData>
    <row r="1" spans="1:12" ht="15.75" x14ac:dyDescent="0.25">
      <c r="B1" s="7"/>
      <c r="C1" s="7"/>
      <c r="D1" s="7"/>
    </row>
    <row r="2" spans="1:12" ht="16.5" thickBot="1" x14ac:dyDescent="0.3">
      <c r="A2" s="1"/>
      <c r="B2" s="36" t="s">
        <v>0</v>
      </c>
      <c r="C2" s="37"/>
      <c r="D2" s="38"/>
      <c r="F2" s="2"/>
      <c r="G2" s="1"/>
      <c r="H2" s="1"/>
      <c r="I2" s="1"/>
      <c r="J2" s="1"/>
      <c r="K2" s="1"/>
    </row>
    <row r="3" spans="1:12" ht="15.75" thickBot="1" x14ac:dyDescent="0.3">
      <c r="A3" s="1"/>
      <c r="B3" s="5" t="s">
        <v>1</v>
      </c>
      <c r="C3" s="43">
        <v>35603581</v>
      </c>
      <c r="D3" s="4"/>
      <c r="E3" s="4"/>
      <c r="F3" s="1"/>
      <c r="G3" s="1"/>
      <c r="H3" s="1"/>
      <c r="I3" s="1"/>
      <c r="J3" s="1"/>
      <c r="K3" s="1"/>
    </row>
    <row r="4" spans="1:12" x14ac:dyDescent="0.25">
      <c r="A4" s="1"/>
      <c r="B4" s="4"/>
      <c r="C4" s="3"/>
      <c r="D4" s="4"/>
      <c r="E4" s="4"/>
      <c r="F4" s="1"/>
      <c r="G4" s="1"/>
      <c r="H4" s="1"/>
      <c r="I4" s="1"/>
      <c r="J4" s="1"/>
      <c r="K4" s="1"/>
    </row>
    <row r="5" spans="1:12" ht="15.75" x14ac:dyDescent="0.25">
      <c r="A5" s="1"/>
      <c r="B5" s="4"/>
      <c r="C5" s="1"/>
      <c r="D5" s="1"/>
      <c r="E5" s="1"/>
      <c r="F5" s="1"/>
      <c r="I5" s="39" t="s">
        <v>61</v>
      </c>
      <c r="J5" s="1"/>
      <c r="K5" s="1"/>
    </row>
    <row r="6" spans="1:12" x14ac:dyDescent="0.25">
      <c r="A6" s="1"/>
      <c r="B6" s="1"/>
      <c r="C6" s="6" t="s">
        <v>2</v>
      </c>
      <c r="D6" s="6" t="s">
        <v>62</v>
      </c>
      <c r="E6" s="6" t="s">
        <v>68</v>
      </c>
      <c r="F6" s="1"/>
      <c r="J6" s="1"/>
      <c r="K6" s="1"/>
    </row>
    <row r="7" spans="1:12" ht="15.75" x14ac:dyDescent="0.25">
      <c r="A7" s="1"/>
      <c r="B7" s="1"/>
      <c r="C7" s="14" t="s">
        <v>3</v>
      </c>
      <c r="D7" s="40">
        <f>MID(Enunciado!C$3,1,1)*5/100</f>
        <v>0.15</v>
      </c>
      <c r="E7" s="40">
        <f>MID(C$3,8,1)*4/100</f>
        <v>0.04</v>
      </c>
      <c r="F7" s="1"/>
      <c r="H7" s="9" t="s">
        <v>12</v>
      </c>
      <c r="I7" s="9" t="s">
        <v>14</v>
      </c>
      <c r="J7" s="9" t="s">
        <v>13</v>
      </c>
      <c r="K7" s="9" t="s">
        <v>15</v>
      </c>
      <c r="L7" s="9" t="s">
        <v>16</v>
      </c>
    </row>
    <row r="8" spans="1:12" ht="15.75" x14ac:dyDescent="0.25">
      <c r="A8" s="1"/>
      <c r="B8" s="1"/>
      <c r="C8" s="14" t="s">
        <v>4</v>
      </c>
      <c r="D8" s="40">
        <f>MID(C$3,2,1)*5/100</f>
        <v>0.25</v>
      </c>
      <c r="E8" s="40">
        <f>MID(C$3,7,1)*4/100</f>
        <v>0.32</v>
      </c>
      <c r="F8" s="1"/>
      <c r="G8" s="10" t="s">
        <v>69</v>
      </c>
      <c r="H8" s="18">
        <v>1</v>
      </c>
      <c r="I8" s="18">
        <v>2</v>
      </c>
      <c r="J8" s="18">
        <v>3</v>
      </c>
      <c r="K8" s="18">
        <v>4</v>
      </c>
      <c r="L8" s="18">
        <v>5</v>
      </c>
    </row>
    <row r="9" spans="1:12" ht="15.75" x14ac:dyDescent="0.25">
      <c r="A9" s="1"/>
      <c r="B9" s="1"/>
      <c r="C9" s="13" t="s">
        <v>5</v>
      </c>
      <c r="D9" s="41">
        <f>MID(C$3,3,1)*5/100</f>
        <v>0.3</v>
      </c>
      <c r="E9" s="41">
        <f>-MID(C$3,6,1)*4/100</f>
        <v>-0.2</v>
      </c>
      <c r="F9" s="1"/>
      <c r="G9" s="10" t="s">
        <v>68</v>
      </c>
      <c r="H9" s="12" t="s">
        <v>71</v>
      </c>
      <c r="I9" s="12" t="s">
        <v>17</v>
      </c>
      <c r="J9" s="12" t="s">
        <v>18</v>
      </c>
      <c r="K9" s="12" t="s">
        <v>74</v>
      </c>
      <c r="L9" s="12" t="s">
        <v>75</v>
      </c>
    </row>
    <row r="10" spans="1:12" x14ac:dyDescent="0.25">
      <c r="A10" s="1"/>
      <c r="B10" s="1"/>
      <c r="C10" s="13" t="s">
        <v>6</v>
      </c>
      <c r="D10" s="41">
        <f>MID(C$3,4,1)*5/100</f>
        <v>0</v>
      </c>
      <c r="E10" s="41">
        <f>-MID(C$3,5,1)*3/100</f>
        <v>-0.09</v>
      </c>
      <c r="F10" s="1"/>
      <c r="J10" s="1"/>
      <c r="K10" s="1"/>
    </row>
    <row r="11" spans="1:12" ht="15.75" x14ac:dyDescent="0.25">
      <c r="A11" s="1"/>
      <c r="B11" s="1"/>
      <c r="C11" s="14" t="s">
        <v>7</v>
      </c>
      <c r="D11" s="40">
        <f>MID(C$3,5,1)*5/100</f>
        <v>0.15</v>
      </c>
      <c r="E11" s="40">
        <f>MID(C$3,4,1)*4/100</f>
        <v>0</v>
      </c>
      <c r="F11" s="1"/>
      <c r="G11" s="10" t="s">
        <v>70</v>
      </c>
      <c r="H11" s="18">
        <v>1</v>
      </c>
      <c r="I11" s="18">
        <v>2</v>
      </c>
      <c r="J11" s="18">
        <v>3</v>
      </c>
      <c r="K11" s="18">
        <v>4</v>
      </c>
      <c r="L11" s="18">
        <v>5</v>
      </c>
    </row>
    <row r="12" spans="1:12" ht="15.75" x14ac:dyDescent="0.25">
      <c r="A12" s="1"/>
      <c r="B12" s="1"/>
      <c r="C12" s="14" t="s">
        <v>8</v>
      </c>
      <c r="D12" s="40">
        <f>MID(C$3,6,1)*5/100</f>
        <v>0.25</v>
      </c>
      <c r="E12" s="40">
        <f>MID(C$3,3,1)*2/100</f>
        <v>0.12</v>
      </c>
      <c r="F12" s="1"/>
      <c r="G12" s="10" t="s">
        <v>19</v>
      </c>
      <c r="H12" s="11" t="s">
        <v>63</v>
      </c>
      <c r="I12" s="11" t="s">
        <v>65</v>
      </c>
      <c r="J12" s="11" t="s">
        <v>64</v>
      </c>
      <c r="K12" s="11" t="s">
        <v>66</v>
      </c>
      <c r="L12" s="11" t="s">
        <v>67</v>
      </c>
    </row>
    <row r="13" spans="1:12" x14ac:dyDescent="0.25">
      <c r="A13" s="1"/>
      <c r="B13" s="1"/>
      <c r="C13" s="14" t="s">
        <v>9</v>
      </c>
      <c r="D13" s="40">
        <f>MID(C$3,7,1)*5/100</f>
        <v>0.4</v>
      </c>
      <c r="E13" s="40">
        <f>MID(C$3,2,1)*3/100</f>
        <v>0.15</v>
      </c>
      <c r="F13" s="1"/>
      <c r="J13" s="1"/>
      <c r="K13" s="1"/>
    </row>
    <row r="14" spans="1:12" x14ac:dyDescent="0.25">
      <c r="A14" s="1"/>
      <c r="B14" s="1"/>
      <c r="C14" s="14" t="s">
        <v>10</v>
      </c>
      <c r="D14" s="40">
        <f>MID(C$3,8,1)*5/100</f>
        <v>0.05</v>
      </c>
      <c r="E14" s="40">
        <f>MID(C$3,1,1)*3/100</f>
        <v>0.09</v>
      </c>
      <c r="F14" s="1"/>
      <c r="J14" s="1"/>
      <c r="K14" s="1"/>
    </row>
    <row r="15" spans="1:12" x14ac:dyDescent="0.25">
      <c r="A15" s="1"/>
      <c r="B15" s="1"/>
      <c r="C15" s="14" t="s">
        <v>11</v>
      </c>
      <c r="D15" s="40">
        <f>MID(C$3,1,1)*5/100</f>
        <v>0.15</v>
      </c>
      <c r="E15" s="40">
        <f>MID(C$3,8,1)*4/100</f>
        <v>0.04</v>
      </c>
      <c r="F15" s="1"/>
      <c r="J15" s="1"/>
      <c r="K15" s="1"/>
    </row>
    <row r="17" spans="2:11" ht="18.75" x14ac:dyDescent="0.3">
      <c r="B17" s="15" t="s">
        <v>20</v>
      </c>
    </row>
    <row r="18" spans="2:11" ht="18.75" x14ac:dyDescent="0.3">
      <c r="B18" s="15" t="s">
        <v>32</v>
      </c>
    </row>
    <row r="19" spans="2:11" ht="18.75" x14ac:dyDescent="0.3">
      <c r="B19" s="15" t="s">
        <v>21</v>
      </c>
    </row>
    <row r="20" spans="2:11" ht="18.75" x14ac:dyDescent="0.3">
      <c r="B20" s="15" t="s">
        <v>57</v>
      </c>
      <c r="K20" t="s">
        <v>55</v>
      </c>
    </row>
    <row r="21" spans="2:11" ht="18.75" x14ac:dyDescent="0.3">
      <c r="B21" s="15" t="s">
        <v>31</v>
      </c>
      <c r="K21" t="s">
        <v>56</v>
      </c>
    </row>
    <row r="22" spans="2:11" ht="18.75" x14ac:dyDescent="0.3">
      <c r="B22" s="15"/>
    </row>
    <row r="23" spans="2:11" ht="18.75" x14ac:dyDescent="0.3">
      <c r="B23" s="15" t="s">
        <v>58</v>
      </c>
    </row>
    <row r="24" spans="2:11" ht="18.75" x14ac:dyDescent="0.3">
      <c r="B24" s="15" t="s">
        <v>34</v>
      </c>
    </row>
    <row r="25" spans="2:11" ht="18.75" x14ac:dyDescent="0.3">
      <c r="B25" s="15" t="s">
        <v>33</v>
      </c>
    </row>
    <row r="26" spans="2:11" ht="18.75" x14ac:dyDescent="0.3">
      <c r="B26" s="15" t="s">
        <v>35</v>
      </c>
    </row>
    <row r="27" spans="2:11" ht="18.75" x14ac:dyDescent="0.3">
      <c r="B27" s="15" t="s">
        <v>36</v>
      </c>
    </row>
    <row r="28" spans="2:11" ht="18.75" x14ac:dyDescent="0.3">
      <c r="B28" s="15" t="s">
        <v>37</v>
      </c>
    </row>
    <row r="29" spans="2:11" ht="18.75" x14ac:dyDescent="0.3">
      <c r="B29" s="15" t="s">
        <v>59</v>
      </c>
    </row>
    <row r="30" spans="2:11" ht="18.75" x14ac:dyDescent="0.3">
      <c r="B30" s="15" t="s">
        <v>54</v>
      </c>
      <c r="K30" t="s">
        <v>55</v>
      </c>
    </row>
    <row r="31" spans="2:11" ht="18.75" x14ac:dyDescent="0.3">
      <c r="B31" s="8" t="s">
        <v>53</v>
      </c>
      <c r="K31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zoomScale="84" zoomScaleNormal="84" workbookViewId="0">
      <selection activeCell="C11" sqref="C11"/>
    </sheetView>
  </sheetViews>
  <sheetFormatPr baseColWidth="10" defaultRowHeight="15" x14ac:dyDescent="0.25"/>
  <cols>
    <col min="1" max="1" width="22.85546875" customWidth="1"/>
    <col min="2" max="2" width="13.5703125" customWidth="1"/>
    <col min="3" max="3" width="13.140625" customWidth="1"/>
    <col min="4" max="4" width="13.85546875" customWidth="1"/>
    <col min="5" max="6" width="12.28515625" customWidth="1"/>
  </cols>
  <sheetData>
    <row r="1" spans="1:6" ht="18.75" x14ac:dyDescent="0.3">
      <c r="B1" s="35" t="s">
        <v>22</v>
      </c>
      <c r="C1" s="16"/>
      <c r="D1" s="16"/>
    </row>
    <row r="2" spans="1:6" x14ac:dyDescent="0.25">
      <c r="B2" s="8"/>
    </row>
    <row r="3" spans="1:6" ht="15.75" x14ac:dyDescent="0.25">
      <c r="A3" s="34" t="s">
        <v>28</v>
      </c>
      <c r="B3" s="18" t="s">
        <v>23</v>
      </c>
      <c r="C3" s="18" t="s">
        <v>24</v>
      </c>
      <c r="D3" s="18" t="s">
        <v>25</v>
      </c>
      <c r="E3" s="18" t="s">
        <v>26</v>
      </c>
      <c r="F3" s="18" t="s">
        <v>27</v>
      </c>
    </row>
    <row r="4" spans="1:6" ht="30" customHeight="1" x14ac:dyDescent="0.25">
      <c r="A4" s="19" t="s">
        <v>30</v>
      </c>
      <c r="B4" s="44" t="str">
        <f>CONCATENATE(IF(AND(Enunciado!$D7&gt;=40%,Enunciado!$E7&lt;5%),"R1 ",""),IF(AND(Enunciado!$D8&gt;=40%,Enunciado!$E8&lt;5%),"R2 ",""),IF(AND(Enunciado!$D9&gt;=40%,ABS(Enunciado!$E9)&lt;5%),"R3 ",""),IF(AND(Enunciado!$D10&gt;=40%,ABS(Enunciado!$E10)&lt;5%),"R4 ",""),IF(AND(Enunciado!$D11&gt;=40%,Enunciado!$E11&lt;5%),"R5 ",""),IF(AND(Enunciado!$D12&gt;=40%,Enunciado!$E12&lt;5%),"R6 ",""),IF(AND(Enunciado!$D13&gt;=40%,Enunciado!$E13&lt;5%),"R7 ",""),IF(AND(Enunciado!$D14&gt;=40%,Enunciado!$E14&lt;5%),"R8 ",""),IF(AND(Enunciado!$D15&gt;=40%,Enunciado!$E15&lt;5%),"R9 ",""))</f>
        <v/>
      </c>
      <c r="C4" s="44" t="str">
        <f>CONCATENATE(IF(AND(Enunciado!$D7&gt;=40%,AND(Enunciado!$E7&gt;4%,Enunciado!$E7&lt;10%)),"R1 ",""),IF(AND(Enunciado!$D8&gt;=40%,AND(Enunciado!$E8&gt;4%,Enunciado!$E8&lt;10%)),"R2 ",""),IF(AND(Enunciado!$D9&gt;=40%,AND(ABS(Enunciado!$E9)&gt;4%,ABS(Enunciado!$E9)&lt;10%)),"R3 ",""),IF(AND(Enunciado!$D10&gt;=40%,AND(ABS(Enunciado!$E10)&gt;4%,ABS(Enunciado!$E10)&lt;10%)),"R4 ",""),IF(AND(Enunciado!$D11&gt;=40%,AND(Enunciado!$E11&gt;4%,Enunciado!$E11&lt;10%)),"R5 ",""),IF(AND(Enunciado!$D12&gt;=40%,AND(Enunciado!$E12&gt;4%,Enunciado!$E12&lt;10%)),"R6 ",""),IF(AND(Enunciado!$D13&gt;=40%,AND(Enunciado!$E13&gt;4%,Enunciado!$E13&lt;10%)),"R7 ",""),IF(AND(Enunciado!$D14&gt;=40%,AND(Enunciado!$E14&gt;4%,Enunciado!$E14&lt;10%)),"R8 ",""),IF(AND(Enunciado!$D15&gt;=40%,AND(Enunciado!$E15&gt;4%,Enunciado!$E15&lt;10%)),"R9 ",""))</f>
        <v/>
      </c>
      <c r="D4" s="44" t="str">
        <f>CONCATENATE(IF(AND(Enunciado!$D7&gt;=40%,AND(Enunciado!$E7&gt;9%,Enunciado!$E7&lt;20%)),"R1 ",""),IF(AND(Enunciado!$D8&gt;=40%,AND(Enunciado!$E8&gt;9%,Enunciado!$E8&lt;20%)),"R2 ",""),IF(AND(Enunciado!$D9&gt;=40%,AND(ABS(Enunciado!$E9)&gt;9%,ABS(Enunciado!$E9)&lt;20%)),"R3 ",""),IF(AND(Enunciado!$D10&gt;=40%,AND(ABS(Enunciado!$E10)&gt;9%,ABS(Enunciado!$E10)&lt;20%)),"R4 ",""),IF(AND(Enunciado!$D11&gt;=40%,AND(Enunciado!$E11&gt;9%,Enunciado!$E11&lt;20%)),"R5 ",""),IF(AND(Enunciado!$D12&gt;=40%,AND(Enunciado!$E12&gt;9%,Enunciado!$E12&lt;20%)),"R6 ",""),IF(AND(Enunciado!$D13&gt;=40%,AND(Enunciado!$E13&gt;9%,Enunciado!$E13&lt;20%)),"R7 ",""),IF(AND(Enunciado!$D14&gt;=40%,AND(Enunciado!$E14&gt;9%,Enunciado!$E14&lt;20%)),"R8 ",""),IF(AND(Enunciado!$D15&gt;=40%,AND(Enunciado!$E15&gt;9%,Enunciado!$E15&lt;20%)),"R9 ",""))</f>
        <v xml:space="preserve">R7 </v>
      </c>
      <c r="E4" s="44" t="str">
        <f>CONCATENATE(IF(AND(Enunciado!$D7&gt;=40%,AND(Enunciado!$E7&gt;19%,Enunciado!$E7&lt;30%)),"R1 ",""),IF(AND(Enunciado!$D8&gt;=40%,AND(Enunciado!$E8&gt;19%,Enunciado!$E8&lt;30%)),"R2 ",""),IF(AND(Enunciado!$D9&gt;=40%,AND(ABS(Enunciado!$E9)&gt;19%,ABS(Enunciado!$E9)&lt;30%)),"R3 ",""),IF(AND(Enunciado!$D10&gt;=40%,AND(ABS(Enunciado!$E10)&gt;19%,ABS(Enunciado!$E10)&lt;30%)),"R4 ",""),IF(AND(Enunciado!$D11&gt;=40%,AND(Enunciado!$E11&gt;19%,Enunciado!$E11&lt;30%)),"R5 ",""),IF(AND(Enunciado!$D12&gt;=40%,AND(Enunciado!$E12&gt;19%,Enunciado!$E12&lt;30%)),"R6 ",""),IF(AND(Enunciado!$D13&gt;=40%,AND(Enunciado!$E13&gt;19%,Enunciado!$E13&lt;30%)),"R7 ",""),IF(AND(Enunciado!$D14&gt;=40%,AND(Enunciado!$E14&gt;19%,Enunciado!$E14&lt;30%)),"R8 ",""),IF(AND(Enunciado!$D15&gt;=40%,AND(Enunciado!$E15&gt;19%,Enunciado!$E15&lt;30%)),"R9 ",""))</f>
        <v/>
      </c>
      <c r="F4" s="44" t="str">
        <f>CONCATENATE(IF(AND(Enunciado!$D7&gt;=40%,Enunciado!$E7&gt;29%),"R1 ",""),IF(AND(Enunciado!$D8&gt;=40%,Enunciado!$E8&gt;29%),"R2 ",""),IF(AND(Enunciado!$D9&gt;=40%,ABS(Enunciado!$E9)&gt;29%),"R3 ",""),IF(AND(Enunciado!$D10&gt;=40%,ABS(Enunciado!$E10)&gt;29%),"R4 ",""),IF(AND(Enunciado!$D11&gt;=40%,Enunciado!$E11&gt;29%),"R5 ",""),IF(AND(Enunciado!$D12&gt;=40%,Enunciado!$E12&gt;29%),"R6 ",""),IF(AND(Enunciado!$D13&gt;=40%,Enunciado!$E13&gt;29%),"R7 ",""),IF(AND(Enunciado!$D14&gt;=40%,Enunciado!$E14&gt;29%),"R8 ",""),IF(AND(Enunciado!$D15&gt;=40%,Enunciado!$E15&gt;29%),"R9 ",""))</f>
        <v/>
      </c>
    </row>
    <row r="5" spans="1:6" ht="30" customHeight="1" x14ac:dyDescent="0.25">
      <c r="A5" s="19" t="s">
        <v>26</v>
      </c>
      <c r="B5" s="44" t="str">
        <f>CONCATENATE(IF(AND(AND(Enunciado!$D$7&lt;40%,Enunciado!$D$7&gt;24%),Enunciado!$E$7&lt;5%),"R1 ",""),IF(AND(AND(Enunciado!$D$8&lt;40%,Enunciado!$D$8&gt;24%),Enunciado!$E$8&lt;5%),"R2 ",""),IF(AND(AND(Enunciado!$D$9&lt;40%,Enunciado!$D$9&gt;24%),ABS(Enunciado!$E$9)&lt;5%),"R3 ",""),IF(AND(AND(Enunciado!$D$10&lt;40%,Enunciado!$D$10&gt;24%),ABS(Enunciado!$E$10)&lt;5%),"R4 ",""),IF(AND(AND(Enunciado!$D$11&lt;40%,Enunciado!$D$11&gt;24%),Enunciado!$E$11&lt;5%),"R5 ",""),IF(AND(AND(Enunciado!$D$12&lt;40%,Enunciado!$D$12&gt;24%),Enunciado!$E$12&lt;5%),"R6 ",""),IF(AND(AND(Enunciado!$D$13&lt;40%,Enunciado!$D$13&gt;24%),Enunciado!$E$13&lt;5%),"R7 ",""),IF(AND(AND(Enunciado!$D$14&lt;40%,Enunciado!$D$14&gt;24%),Enunciado!$E$14&lt;5%),"R8 ",""),IF(AND(AND(Enunciado!$D$15&lt;40%,Enunciado!$D$15&gt;24%),Enunciado!$E$15&lt;5%),"R9 ",""))</f>
        <v/>
      </c>
      <c r="C5" s="44" t="str">
        <f>CONCATENATE(IF(AND(AND(Enunciado!$D$7&lt;40%,Enunciado!$D$7&gt;24%),AND(Enunciado!$E7&gt;4%,Enunciado!$E7&lt;10%)),"R1 ",""),IF(AND(AND(Enunciado!$D$8&lt;40%,Enunciado!$D$8&gt;24%),AND(Enunciado!$E8&gt;4%,Enunciado!$E8&lt;10%)),"R2 ",""),IF(AND(AND(Enunciado!$D$9&lt;40%,Enunciado!$D$9&gt;24%),AND(ABS(Enunciado!$E9)&gt;4%,ABS(Enunciado!$E9)&lt;10%)),"R3 ",""),IF(AND(AND(Enunciado!$D$10&lt;40%,Enunciado!$D$10&gt;24%),AND(ABS(Enunciado!$E10)&gt;4%,ABS(Enunciado!$E10)&lt;10%)),"R4 ",""),IF(AND(AND(Enunciado!$D$11&lt;40%,Enunciado!$D$11&gt;24%),AND(Enunciado!$E11&gt;4%,Enunciado!$E11&lt;10%)),"R5 ",""),IF(AND(AND(Enunciado!$D$12&lt;40%,Enunciado!$D$12&gt;24%),AND(Enunciado!$E12&gt;4%,Enunciado!$E12&lt;10%)),"R6 ",""),IF(AND(AND(Enunciado!$D$13&lt;40%,Enunciado!$D$13&gt;24%),AND(Enunciado!$E13&gt;4%,Enunciado!$E13&lt;10%)),"R7 ",""),IF(AND(AND(Enunciado!$D$14&lt;40%,Enunciado!$D$14&gt;24%),AND(Enunciado!$E14&gt;4%,Enunciado!$E14&lt;10%)),"R8 ",""),IF(AND(AND(Enunciado!$D$15&lt;40%,Enunciado!$D$15&gt;24%),AND(Enunciado!$E15&gt;4%,Enunciado!$E15&lt;10%)),"R9 ",""))</f>
        <v/>
      </c>
      <c r="D5" s="44" t="str">
        <f>CONCATENATE(IF(AND(AND(Enunciado!$D$7&lt;40%,Enunciado!$D$7&gt;24%),AND(Enunciado!$E7&gt;9%,Enunciado!$E7&lt;20%)),"R1 ",""),IF(AND(AND(Enunciado!$D$8&lt;40%,Enunciado!$D$8&gt;24%),AND(Enunciado!$E8&gt;9%,Enunciado!$E8&lt;20%)),"R2 ",""),IF(AND(AND(Enunciado!$D$9&lt;40%,Enunciado!$D$9&gt;24%),AND(ABS(Enunciado!$E9)&gt;9%,ABS(Enunciado!$E9)&lt;20%)),"R3 ",""),IF(AND(AND(Enunciado!$D$10&lt;40%,Enunciado!$D$10&gt;24%),AND(ABS(Enunciado!$E10)&gt;9%,ABS(Enunciado!$E10)&lt;20%)),"R4 ",""),IF(AND(AND(Enunciado!$D$11&lt;40%,Enunciado!$D$11&gt;24%),AND(Enunciado!$E11&gt;9%,Enunciado!$E11&lt;20%)),"R5 ",""),IF(AND(AND(Enunciado!$D$12&lt;40%,Enunciado!$D$12&gt;24%),AND(Enunciado!$E12&gt;9%,Enunciado!$E12&lt;20%)),"R6 ",""),IF(AND(AND(Enunciado!$D$13&lt;40%,Enunciado!$D$13&gt;24%),AND(Enunciado!$E13&gt;9%,Enunciado!$E13&lt;20%)),"R7 ",""),IF(AND(AND(Enunciado!$D$14&lt;40%,Enunciado!$D$14&gt;24%),AND(Enunciado!$E14&gt;9%,Enunciado!$E14&lt;20%)),"R8 ",""),IF(AND(AND(Enunciado!$D$15&lt;40%,Enunciado!$D$15&gt;24%),AND(Enunciado!$E15&gt;9%,Enunciado!$E15&lt;20%)),"R9 ",""))</f>
        <v xml:space="preserve">R6 </v>
      </c>
      <c r="E5" s="44" t="str">
        <f>CONCATENATE(IF(AND(AND(Enunciado!$D$7&lt;40%,Enunciado!$D$7&gt;24%),AND(Enunciado!$E7&gt;19%,Enunciado!$E7&lt;30%)),"R1 ",""),IF(AND(AND(Enunciado!$D$8&lt;40%,Enunciado!$D$8&gt;24%),AND(Enunciado!$E8&gt;19%,Enunciado!$E8&lt;30%)),"R2 ",""),IF(AND(AND(Enunciado!$D$9&lt;40%,Enunciado!$D$9&gt;24%),AND(ABS(Enunciado!$E9)&gt;19%,ABS(Enunciado!$E9)&lt;30%)),"R3 ",""),IF(AND(AND(Enunciado!$D$10&lt;40%,Enunciado!$D$10&gt;24%),AND(ABS(Enunciado!$E10)&gt;19%,ABS(Enunciado!$E10)&lt;30%)),"R4 ",""),IF(AND(AND(Enunciado!$D$11&lt;40%,Enunciado!$D$11&gt;24%),AND(Enunciado!$E11&gt;19%,Enunciado!$E11&lt;30%)),"R5 ",""),IF(AND(AND(Enunciado!$D$12&lt;40%,Enunciado!$D$12&gt;24%),AND(Enunciado!$E12&gt;19%,Enunciado!$E12&lt;30%)),"R6 ",""),IF(AND(AND(Enunciado!$D$13&lt;40%,Enunciado!$D$13&gt;24%),AND(Enunciado!$E13&gt;19%,Enunciado!$E13&lt;30%)),"R7 ",""),IF(AND(AND(Enunciado!$D$14&lt;40%,Enunciado!$D$14&gt;24%),AND(Enunciado!$E14&gt;19%,Enunciado!$E14&lt;30%)),"R8 ",""),IF(AND(AND(Enunciado!$D$15&lt;40%,Enunciado!$D$15&gt;24%),AND(Enunciado!$E15&gt;19%,Enunciado!$E15&lt;30%)),"R9 ",""))</f>
        <v xml:space="preserve">R3 </v>
      </c>
      <c r="F5" s="44" t="str">
        <f>CONCATENATE(IF(AND(AND(Enunciado!$D$7&lt;40%,Enunciado!$D$7&gt;24%),Enunciado!$E$7&gt;29%),"R1 ",""),IF(AND(AND(Enunciado!$D$8&lt;40%,Enunciado!$D$8&gt;24%),Enunciado!$E$8&gt;29%),"R2 ",""),IF(AND(AND(Enunciado!$D$9&lt;40%,Enunciado!$D$9&gt;24%),ABS(Enunciado!$E$9)&gt;29%),"R3 ",""),IF(AND(AND(Enunciado!$D$10&lt;40%,Enunciado!$D$10&gt;24%),ABS(Enunciado!$E$10)&gt;29%),"R4 ",""),IF(AND(AND(Enunciado!$D$11&lt;40%,Enunciado!$D$11&gt;24%),Enunciado!$E$11&gt;29%),"R5 ",""),IF(AND(AND(Enunciado!$D$12&lt;40%,Enunciado!$D$12&gt;24%),Enunciado!$E$12&gt;29%),"R6 ",""),IF(AND(AND(Enunciado!$D$13&lt;40%,Enunciado!$D$13&gt;24%),Enunciado!$E$13&gt;29%),"R7 ",""),IF(AND(AND(Enunciado!$D$14&lt;40%,Enunciado!$D$14&gt;24%),Enunciado!$E$14&gt;29%),"R8 ",""),IF(AND(AND(Enunciado!$D$15&lt;40%,Enunciado!$D$15&gt;24%),Enunciado!$E$15&gt;29%),"R9 ",""))</f>
        <v xml:space="preserve">R2 </v>
      </c>
    </row>
    <row r="6" spans="1:6" ht="30" customHeight="1" x14ac:dyDescent="0.25">
      <c r="A6" s="19" t="s">
        <v>25</v>
      </c>
      <c r="B6" s="44" t="str">
        <f>CONCATENATE(IF(AND(AND(Enunciado!$D$7&lt;25%,Enunciado!$D$7&gt;14%),Enunciado!$E$7&lt;5%),"R1 ",""),IF(AND(AND(Enunciado!$D$8&lt;25%,Enunciado!$D$8&gt;14%),Enunciado!$E$8&lt;5%),"R2 ",""),IF(AND(AND(Enunciado!$D$9&lt;25%,Enunciado!$D$9&gt;14%),ABS(Enunciado!$E$9)&lt;5%),"R3 ",""),IF(AND(AND(Enunciado!$D$10&lt;25%,Enunciado!$D$10&gt;14%),ABS(Enunciado!$E$10)&lt;5%),"R4 ",""),IF(AND(AND(Enunciado!$D$11&lt;25%,Enunciado!$D$11&gt;14%),Enunciado!$E$11&lt;5%),"R5 ",""),IF(AND(AND(Enunciado!$D$12&lt;25%,Enunciado!$D$12&gt;14%),Enunciado!$E$12&lt;5%),"R6 ",""),IF(AND(AND(Enunciado!$D$13&lt;25%,Enunciado!$D$13&gt;14%),Enunciado!$E$13&lt;5%),"R7 ",""),IF(AND(AND(Enunciado!$D$14&lt;25%,Enunciado!$D$14&gt;14%),Enunciado!$E$14&lt;5%),"R8 ",""),IF(AND(AND(Enunciado!$D$15&lt;25%,Enunciado!$D$15&gt;14%),Enunciado!$E$15&lt;5%),"R9 ",""))</f>
        <v xml:space="preserve">R1 R5 R9 </v>
      </c>
      <c r="C6" s="44" t="str">
        <f>CONCATENATE(IF(AND(AND(Enunciado!$D$7&lt;25%,Enunciado!$D$7&gt;14%),AND(Enunciado!$E7&gt;4%,Enunciado!$E7&lt;10%)),"R1 ",""),IF(AND(AND(Enunciado!$D$8&lt;25%,Enunciado!$D$8&gt;14%),AND(Enunciado!$E8&gt;4%,Enunciado!$E8&lt;10%)),"R2 ",""),IF(AND(AND(Enunciado!$D$9&lt;25%,Enunciado!$D$9&gt;14%),AND(ABS(Enunciado!$E9)&gt;4%,ABS(Enunciado!$E9)&lt;10%)),"R3 ",""),IF(AND(AND(Enunciado!$D$10&lt;25%,Enunciado!$D$10&gt;14%),AND(ABS(Enunciado!$E10)&gt;4%,ABS(Enunciado!$E10)&lt;10%)),"R4 ",""),IF(AND(AND(Enunciado!$D$11&lt;25%,Enunciado!$D$11&gt;14%),AND(Enunciado!$E11&gt;4%,Enunciado!$E11&lt;10%)),"R5 ",""),IF(AND(AND(Enunciado!$D$12&lt;25%,Enunciado!$D$12&gt;14%),AND(Enunciado!$E12&gt;4%,Enunciado!$E12&lt;10%)),"R6 ",""),IF(AND(AND(Enunciado!$D$13&lt;25%,Enunciado!$D$13&gt;14%),AND(Enunciado!$E13&gt;4%,Enunciado!$E13&lt;10%)),"R7 ",""),IF(AND(AND(Enunciado!$D$14&lt;25%,Enunciado!$D$14&gt;14%),AND(Enunciado!$E14&gt;4%,Enunciado!$E14&lt;10%)),"R8 ",""),IF(AND(AND(Enunciado!$D$15&lt;25%,Enunciado!$D$15&gt;14%),AND(Enunciado!$E15&gt;4%,Enunciado!$E15&lt;10%)),"R9 ",""))</f>
        <v/>
      </c>
      <c r="D6" s="44" t="str">
        <f>CONCATENATE(IF(AND(AND(Enunciado!$D$7&lt;25%,Enunciado!$D$7&gt;14%),AND(Enunciado!$E7&gt;9%,Enunciado!$E7&lt;20%)),"R1 ",""),IF(AND(AND(Enunciado!$D$8&lt;25%,Enunciado!$D$8&gt;14%),AND(Enunciado!$E8&gt;9%,Enunciado!$E8&lt;20%)),"R2 ",""),IF(AND(AND(Enunciado!$D$9&lt;25%,Enunciado!$D$9&gt;14%),AND(ABS(Enunciado!$E9)&gt;9%,ABS(Enunciado!$E9)&lt;20%)),"R3 ",""),IF(AND(AND(Enunciado!$D$10&lt;25%,Enunciado!$D$10&gt;14%),AND(ABS(Enunciado!$E10)&gt;9%,ABS(Enunciado!$E10)&lt;20%)),"R4 ",""),IF(AND(AND(Enunciado!$D$11&lt;25%,Enunciado!$D$11&gt;14%),AND(Enunciado!$E11&gt;9%,Enunciado!$E11&lt;20%)),"R5 ",""),IF(AND(AND(Enunciado!$D$12&lt;25%,Enunciado!$D$12&gt;14%),AND(Enunciado!$E12&gt;9%,Enunciado!$E12&lt;20%)),"R6 ",""),IF(AND(AND(Enunciado!$D$13&lt;25%,Enunciado!$D$13&gt;14%),AND(Enunciado!$E13&gt;9%,Enunciado!$E13&lt;20%)),"R7 ",""),IF(AND(AND(Enunciado!$D$14&lt;25%,Enunciado!$D$14&gt;14%),AND(Enunciado!$E14&gt;9%,Enunciado!$E14&lt;20%)),"R8 ",""),IF(AND(AND(Enunciado!$D$15&lt;25%,Enunciado!$D$15&gt;14%),AND(Enunciado!$E15&gt;9%,Enunciado!$E15&lt;20%)),"R9 ",""))</f>
        <v/>
      </c>
      <c r="E6" s="44" t="str">
        <f>CONCATENATE(IF(AND(AND(Enunciado!$D$7&lt;25%,Enunciado!$D$7&gt;14%),AND(Enunciado!$E7&gt;19%,Enunciado!$E7&lt;30%)),"R1 ",""),IF(AND(AND(Enunciado!$D$8&lt;25%,Enunciado!$D$8&gt;14%),AND(Enunciado!$E8&gt;19%,Enunciado!$E8&lt;30%)),"R2 ",""),IF(AND(AND(Enunciado!$D$9&lt;25%,Enunciado!$D$9&gt;14%),AND(ABS(Enunciado!$E9)&gt;19%,ABS(Enunciado!$E9)&lt;30%)),"R3 ",""),IF(AND(AND(Enunciado!$D$10&lt;25%,Enunciado!$D$10&gt;14%),AND(ABS(Enunciado!$E10)&gt;19%,ABS(Enunciado!$E10)&lt;30%)),"R4 ",""),IF(AND(AND(Enunciado!$D$11&lt;25%,Enunciado!$D$11&gt;14%),AND(Enunciado!$E11&gt;19%,Enunciado!$E11&lt;30%)),"R5 ",""),IF(AND(AND(Enunciado!$D$12&lt;25%,Enunciado!$D$12&gt;14%),AND(Enunciado!$E12&gt;19%,Enunciado!$E12&lt;30%)),"R6 ",""),IF(AND(AND(Enunciado!$D$13&lt;25%,Enunciado!$D$13&gt;14%),AND(Enunciado!$E13&gt;19%,Enunciado!$E13&lt;30%)),"R7 ",""),IF(AND(AND(Enunciado!$D$14&lt;25%,Enunciado!$D$14&gt;14%),AND(Enunciado!$E14&gt;19%,Enunciado!$E14&lt;30%)),"R8 ",""),IF(AND(AND(Enunciado!$D$15&lt;25%,Enunciado!$D$15&gt;14%),AND(Enunciado!$E15&gt;19%,Enunciado!$E15&lt;30%)),"R9 ",""))</f>
        <v/>
      </c>
      <c r="F6" s="44" t="str">
        <f>CONCATENATE(IF(AND(AND(Enunciado!$D$7&lt;25%,Enunciado!$D$7&gt;14%),Enunciado!$E$7&gt;29%),"R1 ",""),IF(AND(AND(Enunciado!$D$8&lt;25%,Enunciado!$D$8&gt;14%),Enunciado!$E$8&gt;29%),"R2 ",""),IF(AND(AND(Enunciado!$D$9&lt;25%,Enunciado!$D$9&gt;14%),ABS(Enunciado!$E$9)&gt;29%),"R3 ",""),IF(AND(AND(Enunciado!$D$10&lt;25%,Enunciado!$D$10&gt;14%),ABS(Enunciado!$E$10)&gt;29%),"R4 ",""),IF(AND(AND(Enunciado!$D$11&lt;25%,Enunciado!$D$11&gt;14%),Enunciado!$E$11&gt;29%),"R5 ",""),IF(AND(AND(Enunciado!$D$12&lt;25%,Enunciado!$D$12&gt;14%),Enunciado!$E$12&gt;29%),"R6 ",""),IF(AND(AND(Enunciado!$D$13&lt;25%,Enunciado!$D$13&gt;14%),Enunciado!$E$13&gt;29%),"R7 ",""),IF(AND(AND(Enunciado!$D$14&lt;25%,Enunciado!$D$14&gt;14%),Enunciado!$E$14&gt;29%),"R8 ",""),IF(AND(AND(Enunciado!$D$15&lt;25%,Enunciado!$D$15&gt;14%),Enunciado!$E$15&gt;29%),"R9 ",""))</f>
        <v/>
      </c>
    </row>
    <row r="7" spans="1:6" ht="30" customHeight="1" x14ac:dyDescent="0.25">
      <c r="A7" s="19" t="s">
        <v>29</v>
      </c>
      <c r="B7" s="44" t="str">
        <f>CONCATENATE(IF(AND(AND(Enunciado!$D$7&lt;15%,Enunciado!$D$7&gt;5%),Enunciado!$E$7&lt;5%),"R1 ",""),IF(AND(AND(Enunciado!$D$8&lt;15%,Enunciado!$D$8&gt;5%),Enunciado!$E$8&lt;5%),"R2 ",""),IF(AND(AND(Enunciado!$D$9&lt;15%,Enunciado!$D$9&gt;5%),ABS(Enunciado!$E$9)&lt;5%),"R3 ",""),IF(AND(AND(Enunciado!$D$10&lt;15%,Enunciado!$D$10&gt;5%),ABS(Enunciado!$E$10)&lt;5%),"R4 ",""),IF(AND(AND(Enunciado!$D$11&lt;15%,Enunciado!$D$11&gt;5%),Enunciado!$E$11&lt;5%),"R5 ",""),IF(AND(AND(Enunciado!$D$12&lt;15%,Enunciado!$D$12&gt;5%),Enunciado!$E$12&lt;5%),"R6 ",""),IF(AND(AND(Enunciado!$D$13&lt;15%,Enunciado!$D$13&gt;5%),Enunciado!$E$13&lt;5%),"R7 ",""),IF(AND(AND(Enunciado!$D$14&lt;15%,Enunciado!$D$14&gt;5%),Enunciado!$E$14&lt;5%),"R8 ",""),IF(AND(AND(Enunciado!$D$15&lt;15%,Enunciado!$D$15&gt;5%),Enunciado!$E$15&lt;5%),"R9 ",""))</f>
        <v/>
      </c>
      <c r="C7" s="44" t="str">
        <f>CONCATENATE(IF(AND(AND(Enunciado!$D$7&lt;15%,Enunciado!$D$7&gt;5%),AND(Enunciado!$E7&gt;4%,Enunciado!$E7&lt;10%)),"R1 ",""),IF(AND(AND(Enunciado!$D$8&lt;15%,Enunciado!$D$8&gt;5%),AND(Enunciado!$E8&gt;4%,Enunciado!$E8&lt;10%)),"R2 ",""),IF(AND(AND(Enunciado!$D$9&lt;15%,Enunciado!$D$9&gt;5%),AND(ABS(Enunciado!$E9)&gt;4%,ABS(Enunciado!$E9)&lt;10%)),"R3 ",""),IF(AND(AND(Enunciado!$D$10&lt;15%,Enunciado!$D$10&gt;5%),AND(ABS(Enunciado!$E10)&gt;4%,ABS(Enunciado!$E10)&lt;10%)),"R4 ",""),IF(AND(AND(Enunciado!$D$11&lt;15%,Enunciado!$D$11&gt;5%),AND(Enunciado!$E11&gt;4%,Enunciado!$E11&lt;10%)),"R5 ",""),IF(AND(AND(Enunciado!$D$12&lt;15%,Enunciado!$D$12&gt;5%),AND(Enunciado!$E12&gt;4%,Enunciado!$E12&lt;10%)),"R6 ",""),IF(AND(AND(Enunciado!$D$13&lt;15%,Enunciado!$D$13&gt;5%),AND(Enunciado!$E13&gt;4%,Enunciado!$E13&lt;10%)),"R7 ",""),IF(AND(AND(Enunciado!$D$14&lt;15%,Enunciado!$D$14&gt;5%),AND(Enunciado!$E14&gt;4%,Enunciado!$E14&lt;10%)),"R8 ",""),IF(AND(AND(Enunciado!$D$15&lt;15%,Enunciado!$D$15&gt;5%),AND(Enunciado!$E15&gt;4%,Enunciado!$E15&lt;10%)),"R9 ",""))</f>
        <v/>
      </c>
      <c r="D7" s="44" t="str">
        <f>CONCATENATE(IF(AND(AND(Enunciado!$D$7&lt;15%,Enunciado!$D$7&gt;5%),AND(Enunciado!$E7&gt;9%,Enunciado!$E7&lt;20%)),"R1 ",""),IF(AND(AND(Enunciado!$D$8&lt;15%,Enunciado!$D$8&gt;5%),AND(Enunciado!$E8&gt;9%,Enunciado!$E8&lt;20%)),"R2 ",""),IF(AND(AND(Enunciado!$D$9&lt;15%,Enunciado!$D$9&gt;5%),AND(ABS(Enunciado!$E9)&gt;9%,ABS(Enunciado!$E9)&lt;20%)),"R3 ",""),IF(AND(AND(Enunciado!$D$10&lt;15%,Enunciado!$D$10&gt;5%),AND(ABS(Enunciado!$E10)&gt;9%,ABS(Enunciado!$E10)&lt;20%)),"R4 ",""),IF(AND(AND(Enunciado!$D$11&lt;15%,Enunciado!$D$11&gt;5%),AND(Enunciado!$E11&gt;9%,Enunciado!$E11&lt;20%)),"R5 ",""),IF(AND(AND(Enunciado!$D$12&lt;15%,Enunciado!$D$12&gt;5%),AND(Enunciado!$E12&gt;9%,Enunciado!$E12&lt;20%)),"R6 ",""),IF(AND(AND(Enunciado!$D$13&lt;15%,Enunciado!$D$13&gt;5%),AND(Enunciado!$E13&gt;9%,Enunciado!$E13&lt;20%)),"R7 ",""),IF(AND(AND(Enunciado!$D$14&lt;15%,Enunciado!$D$14&gt;5%),AND(Enunciado!$E14&gt;9%,Enunciado!$E14&lt;20%)),"R8 ",""),IF(AND(AND(Enunciado!$D$15&lt;15%,Enunciado!$D$15&gt;5%),AND(Enunciado!$E15&gt;9%,Enunciado!$E15&lt;20%)),"R9 ",""))</f>
        <v/>
      </c>
      <c r="E7" s="44" t="str">
        <f>CONCATENATE(IF(AND(AND(Enunciado!$D$7&lt;15%,Enunciado!$D$7&gt;5%),AND(Enunciado!$E7&gt;19%,Enunciado!$E7&lt;30%)),"R1 ",""),IF(AND(AND(Enunciado!$D$8&lt;15%,Enunciado!$D$8&gt;5%),AND(Enunciado!$E8&gt;19%,Enunciado!$E8&lt;30%)),"R2 ",""),IF(AND(AND(Enunciado!$D$9&lt;15%,Enunciado!$D$9&gt;5%),AND(ABS(Enunciado!$E9)&gt;19%,ABS(Enunciado!$E9)&lt;30%)),"R3 ",""),IF(AND(AND(Enunciado!$D$10&lt;15%,Enunciado!$D$10&gt;5%),AND(ABS(Enunciado!$E10)&gt;19%,ABS(Enunciado!$E10)&lt;30%)),"R4 ",""),IF(AND(AND(Enunciado!$D$11&lt;15%,Enunciado!$D$11&gt;5%),AND(Enunciado!$E11&gt;19%,Enunciado!$E11&lt;30%)),"R5 ",""),IF(AND(AND(Enunciado!$D$12&lt;15%,Enunciado!$D$12&gt;5%),AND(Enunciado!$E12&gt;19%,Enunciado!$E12&lt;30%)),"R6 ",""),IF(AND(AND(Enunciado!$D$13&lt;15%,Enunciado!$D$13&gt;5%),AND(Enunciado!$E13&gt;19%,Enunciado!$E13&lt;30%)),"R7 ",""),IF(AND(AND(Enunciado!$D$14&lt;15%,Enunciado!$D$14&gt;5%),AND(Enunciado!$E14&gt;19%,Enunciado!$E14&lt;30%)),"R8 ",""),IF(AND(AND(Enunciado!$D$15&lt;15%,Enunciado!$D$15&gt;5%),AND(Enunciado!$E15&gt;19%,Enunciado!$E15&lt;30%)),"R9 ",""))</f>
        <v/>
      </c>
      <c r="F7" s="44" t="str">
        <f>CONCATENATE(IF(AND(AND(Enunciado!$D$7&lt;15%,Enunciado!$D$7&gt;5%),Enunciado!$E$7&gt;29%),"R1 ",""),IF(AND(AND(Enunciado!$D$8&lt;15%,Enunciado!$D$8&gt;5%),Enunciado!$E$8&gt;29%),"R2 ",""),IF(AND(AND(Enunciado!$D$9&lt;15%,Enunciado!$D$9&gt;5%),ABS(Enunciado!$E$9)&gt;29%),"R3 ",""),IF(AND(AND(Enunciado!$D$10&lt;15%,Enunciado!$D$10&gt;5%),ABS(Enunciado!$E$10)&gt;29%),"R4 ",""),IF(AND(AND(Enunciado!$D$11&lt;15%,Enunciado!$D$11&gt;5%),Enunciado!$E$11&gt;29%),"R5 ",""),IF(AND(AND(Enunciado!$D$12&lt;15%,Enunciado!$D$12&gt;5%),Enunciado!$E$12&gt;29%),"R6 ",""),IF(AND(AND(Enunciado!$D$13&lt;15%,Enunciado!$D$13&gt;5%),Enunciado!$E$13&gt;29%),"R7 ",""),IF(AND(AND(Enunciado!$D$14&lt;15%,Enunciado!$D$14&gt;5%),Enunciado!$E$14&gt;29%),"R8 ",""),IF(AND(AND(Enunciado!$D$15&lt;15%,Enunciado!$D$15&gt;5%),Enunciado!$E$15&gt;29%),"R9 ",""))</f>
        <v/>
      </c>
    </row>
    <row r="8" spans="1:6" ht="30" customHeight="1" x14ac:dyDescent="0.25">
      <c r="A8" s="19" t="s">
        <v>60</v>
      </c>
      <c r="B8" s="44" t="str">
        <f>CONCATENATE(IF(AND(Enunciado!$D7&lt;6%,Enunciado!$E7&lt;5%),"R1 ",""),IF(AND(Enunciado!$D8&lt;6%,Enunciado!$E8&lt;5%),"R2 ",""),IF(AND(Enunciado!$D9&lt;6%,ABS(Enunciado!$E9)&lt;5%),"R3 ",""),IF(AND(Enunciado!$D10&lt;6%,ABS(Enunciado!$E10)&lt;5%),"R4 ",""),IF(AND(Enunciado!$D11&lt;6%,Enunciado!$E11&lt;5%),"R5 ",""),IF(AND(Enunciado!$D12&lt;6%,Enunciado!$E12&lt;5%),"R6 ",""),IF(AND(Enunciado!$D13&lt;6%,Enunciado!$E13&lt;5%),"R7 ",""),IF(AND(Enunciado!$D14&lt;6%,Enunciado!$E14&lt;5%),"R8 ",""),IF(AND(Enunciado!$D15&lt;6%,Enunciado!$E15&lt;5%),"R9 ",""))</f>
        <v/>
      </c>
      <c r="C8" s="44" t="str">
        <f>CONCATENATE(IF(AND(Enunciado!$D7&lt;6%,AND(Enunciado!$E7&gt;4%,Enunciado!$E7&lt;10%)),"R1 ",""),IF(AND(Enunciado!$D8&lt;6%,AND(Enunciado!$E8&gt;4%,Enunciado!$E8&lt;10%)),"R2 ",""),IF(AND(Enunciado!$D9&lt;6%,AND(ABS(Enunciado!$E9)&gt;4%,ABS(Enunciado!$E9)&lt;10%)),"R3 ",""),IF(AND(Enunciado!$D10&lt;6%,AND(ABS(Enunciado!$E10)&gt;4%,ABS(Enunciado!$E10)&lt;10%)),"R4 ",""),IF(AND(Enunciado!$D11&lt;6%,AND(Enunciado!$E11&gt;4%,Enunciado!$E11&lt;10%)),"R5 ",""),IF(AND(Enunciado!$D12&lt;6%,AND(Enunciado!$E12&gt;4%,Enunciado!$E12&lt;10%)),"R6 ",""),IF(AND(Enunciado!$D13&lt;6%,AND(Enunciado!$E13&gt;4%,Enunciado!$E13&lt;10%)),"R7 ",""),IF(AND(Enunciado!$D14&lt;6%,AND(Enunciado!$E14&gt;4%,Enunciado!$E14&lt;10%)),"R8 ",""),IF(AND(Enunciado!$D15&lt;6%,AND(Enunciado!$E15&gt;4%,Enunciado!$E15&lt;10%)),"R9 ",""))</f>
        <v xml:space="preserve">R4 R8 </v>
      </c>
      <c r="D8" s="44" t="str">
        <f>CONCATENATE(IF(AND(Enunciado!$D7&lt;6%,AND(Enunciado!$E7&gt;9%,Enunciado!$E7&lt;20%)),"R1 ",""),IF(AND(Enunciado!$D8&lt;6%,AND(Enunciado!$E8&gt;9%,Enunciado!$E8&lt;20%)),"R2 ",""),IF(AND(Enunciado!$D9&lt;6%,AND(ABS(Enunciado!$E9)&gt;9%,ABS(Enunciado!$E9)&lt;20%)),"R3 ",""),IF(AND(Enunciado!$D10&lt;6%,AND(ABS(Enunciado!$E10)&gt;9%,ABS(Enunciado!$E10)&lt;20%)),"R4 ",""),IF(AND(Enunciado!$D11&lt;6%,AND(Enunciado!$E11&gt;9%,Enunciado!$E11&lt;20%)),"R5 ",""),IF(AND(Enunciado!$D12&lt;6%,AND(Enunciado!$E12&gt;9%,Enunciado!$E12&lt;20%)),"R6 ",""),IF(AND(Enunciado!$D13&lt;6%,AND(Enunciado!$E13&gt;9%,Enunciado!$E13&lt;20%)),"R7 ",""),IF(AND(Enunciado!$D14&lt;6%,AND(Enunciado!$E14&gt;9%,Enunciado!$E14&lt;20%)),"R8 ",""),IF(AND(Enunciado!$D15&lt;6%,AND(Enunciado!$E15&gt;9%,Enunciado!$E15&lt;20%)),"R9 ",""))</f>
        <v/>
      </c>
      <c r="E8" s="44" t="str">
        <f>CONCATENATE(IF(AND(Enunciado!$D7&lt;6%,AND(Enunciado!$E7&gt;19%,Enunciado!$E7&lt;30%)),"R1 ",""),IF(AND(Enunciado!$D8&lt;6%,AND(Enunciado!$E8&gt;19%,Enunciado!$E8&lt;30%)),"R2 ",""),IF(AND(Enunciado!$D9&lt;6%,AND(ABS(Enunciado!$E9)&gt;19%,ABS(Enunciado!$E9)&lt;30%)),"R3 ",""),IF(AND(Enunciado!$D10&lt;6%,AND(ABS(Enunciado!$E10)&gt;19%,ABS(Enunciado!$E10)&lt;30%)),"R4 ",""),IF(AND(Enunciado!$D11&lt;6%,AND(Enunciado!$E11&gt;19%,Enunciado!$E11&lt;30%)),"R5 ",""),IF(AND(Enunciado!$D12&lt;6%,AND(Enunciado!$E12&gt;19%,Enunciado!$E12&lt;30%)),"R6 ",""),IF(AND(Enunciado!$D13&lt;6%,AND(Enunciado!$E13&gt;19%,Enunciado!$E13&lt;30%)),"R7 ",""),IF(AND(Enunciado!$D14&lt;6%,AND(Enunciado!$E14&gt;19%,Enunciado!$E14&lt;30%)),"R8 ",""),IF(AND(Enunciado!$D15&lt;6%,AND(Enunciado!$E15&gt;19%,Enunciado!$E15&lt;30%)),"R9 ",""))</f>
        <v/>
      </c>
      <c r="F8" s="44" t="str">
        <f>CONCATENATE(IF(AND(Enunciado!$D7&lt;6%,Enunciado!$E7&gt;29%),"R1 ",""),IF(AND(Enunciado!$D8&lt;6%,Enunciado!$E8&gt;29%),"R2 ",""),IF(AND(Enunciado!$D9&lt;6%,ABS(Enunciado!$E9)&gt;29%),"R3 ",""),IF(AND(Enunciado!$D10&lt;6%,ABS(Enunciado!$E10)&gt;29%),"R4 ",""),IF(AND(Enunciado!$D11&lt;6%,Enunciado!$E11&gt;29%),"R5 ",""),IF(AND(Enunciado!$D12&lt;6%,Enunciado!$E12&gt;29%),"R6 ",""),IF(AND(Enunciado!$D13&lt;6%,Enunciado!$E13&gt;29%),"R7 ",""),IF(AND(Enunciado!$D14&lt;6%,Enunciado!$E14&gt;29%),"R8 ",""),IF(AND(Enunciado!$D15&lt;6%,Enunciado!$E15&gt;29%),"R9 ",""))</f>
        <v/>
      </c>
    </row>
    <row r="11" spans="1:6" x14ac:dyDescent="0.25">
      <c r="C11" s="45" t="str">
        <f>_xlfn.CONCAT(F4,IF(F4&lt;&gt;"","&gt;",""),E4,F5,IF(OR(E4&lt;&gt;"",F5&lt;&gt;""),"&gt;",""),D4,E5,F6,IF(OR(D4&lt;&gt;"",E5&lt;&gt;"",F6&lt;&gt;""),"&gt;",""),C4,D5,E6,F7,IF(OR(C4&lt;&gt;"",D5&lt;&gt;"",E6&lt;&gt;"",F7&lt;&gt;""),"&gt;",""),B4,C5,D6,E7,F8,IF(OR(B4&lt;&gt;"",C5&lt;&gt;"",D6&lt;&gt;"",E7&lt;&gt;"",F8&lt;&gt;""),"&gt;",""),B5,C6,D7,E8,IF(OR(B5&lt;&gt;"",C6&lt;&gt;"",D7&lt;&gt;"",E8&lt;&gt;""),"&gt;",""),B6,C7,D8,IF(OR(B6&lt;&gt;"",C7&lt;&gt;"",D8&lt;&gt;""),"&gt;",""),B7,C8,IF(B8&lt;&gt;"","&gt;",""),B8)</f>
        <v xml:space="preserve">R2 &gt;R7 R3 &gt;R6 &gt;R1 R5 R9 &gt;R4 R8 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6"/>
  <sheetViews>
    <sheetView topLeftCell="C1" zoomScale="73" zoomScaleNormal="73" workbookViewId="0">
      <selection activeCell="F8" sqref="F8"/>
    </sheetView>
  </sheetViews>
  <sheetFormatPr baseColWidth="10" defaultRowHeight="15" x14ac:dyDescent="0.25"/>
  <cols>
    <col min="2" max="2" width="17" customWidth="1"/>
    <col min="4" max="4" width="16.5703125" customWidth="1"/>
    <col min="5" max="5" width="16.85546875" customWidth="1"/>
    <col min="6" max="6" width="20.7109375" customWidth="1"/>
    <col min="9" max="9" width="13.7109375" customWidth="1"/>
  </cols>
  <sheetData>
    <row r="1" spans="2:10" ht="18.75" x14ac:dyDescent="0.3">
      <c r="F1" s="24" t="s">
        <v>48</v>
      </c>
      <c r="G1" s="27" t="s">
        <v>50</v>
      </c>
      <c r="H1" s="25" t="s">
        <v>47</v>
      </c>
      <c r="I1" s="33" t="s">
        <v>52</v>
      </c>
    </row>
    <row r="2" spans="2:10" ht="15.75" x14ac:dyDescent="0.25">
      <c r="B2" s="17"/>
      <c r="G2" s="28"/>
      <c r="H2" s="18" t="s">
        <v>46</v>
      </c>
      <c r="I2" s="31">
        <f>(1000+MID(Enunciado!C$3,1,1))*1000</f>
        <v>1003000</v>
      </c>
      <c r="J2" s="17"/>
    </row>
    <row r="3" spans="2:10" ht="15.75" x14ac:dyDescent="0.25">
      <c r="B3" s="17"/>
      <c r="G3" s="29">
        <v>0.4</v>
      </c>
      <c r="H3" s="9"/>
      <c r="I3" s="17"/>
      <c r="J3" s="17"/>
    </row>
    <row r="4" spans="2:10" ht="15.75" x14ac:dyDescent="0.25">
      <c r="B4" s="17"/>
      <c r="C4" s="17"/>
      <c r="D4" s="17"/>
      <c r="E4" s="9" t="s">
        <v>51</v>
      </c>
      <c r="F4" s="32">
        <f>(I2*G3+I4*G4+0.2*I6)-F6</f>
        <v>122400</v>
      </c>
      <c r="G4" s="29">
        <v>0.4</v>
      </c>
      <c r="H4" s="18" t="s">
        <v>25</v>
      </c>
      <c r="I4" s="31">
        <f>(50+MID(Enunciado!C$3,2,1))*1000</f>
        <v>55000</v>
      </c>
      <c r="J4" s="17"/>
    </row>
    <row r="5" spans="2:10" ht="15.75" x14ac:dyDescent="0.25">
      <c r="B5" s="17"/>
      <c r="C5" s="17"/>
      <c r="D5" s="17"/>
      <c r="E5" s="17"/>
      <c r="F5" s="18" t="s">
        <v>42</v>
      </c>
      <c r="G5" s="29">
        <v>0.2</v>
      </c>
      <c r="H5" s="9"/>
      <c r="I5" s="17"/>
      <c r="J5" s="17"/>
    </row>
    <row r="6" spans="2:10" ht="18.75" x14ac:dyDescent="0.3">
      <c r="B6" s="17"/>
      <c r="C6" s="17"/>
      <c r="D6" s="17"/>
      <c r="E6" s="24" t="s">
        <v>49</v>
      </c>
      <c r="F6" s="31">
        <f>(150+MID(Enunciado!C$3,1,1))*2000</f>
        <v>306000</v>
      </c>
      <c r="G6" s="28"/>
      <c r="H6" s="18" t="s">
        <v>29</v>
      </c>
      <c r="I6" s="31">
        <f>(20+MID(Enunciado!C$3,3,1))*1000</f>
        <v>26000</v>
      </c>
      <c r="J6" s="17"/>
    </row>
    <row r="7" spans="2:10" ht="15.75" x14ac:dyDescent="0.25">
      <c r="B7" s="17"/>
      <c r="C7" s="17"/>
      <c r="D7" s="18" t="s">
        <v>40</v>
      </c>
      <c r="E7" s="17"/>
      <c r="F7" s="9"/>
      <c r="G7" s="28"/>
      <c r="H7" s="9"/>
      <c r="I7" s="17"/>
      <c r="J7" s="17"/>
    </row>
    <row r="8" spans="2:10" ht="15.75" x14ac:dyDescent="0.25">
      <c r="C8" s="17"/>
      <c r="D8" s="9"/>
      <c r="E8" s="9" t="s">
        <v>51</v>
      </c>
      <c r="F8" s="32">
        <f>(I8*G8+I10*G9+I12*G11)-F10</f>
        <v>112350</v>
      </c>
      <c r="G8" s="29">
        <v>0.15</v>
      </c>
      <c r="H8" s="18" t="s">
        <v>46</v>
      </c>
      <c r="I8" s="31">
        <f>(995+MID(Enunciado!C$3,4,1))*1000</f>
        <v>995000</v>
      </c>
      <c r="J8" s="17"/>
    </row>
    <row r="9" spans="2:10" ht="15.75" x14ac:dyDescent="0.25">
      <c r="C9" s="17"/>
      <c r="D9" s="9"/>
      <c r="E9" s="17"/>
      <c r="F9" s="18" t="s">
        <v>43</v>
      </c>
      <c r="G9" s="29">
        <v>0.2</v>
      </c>
      <c r="H9" s="9"/>
      <c r="I9" s="17"/>
      <c r="J9" s="17"/>
    </row>
    <row r="10" spans="2:10" ht="18.75" x14ac:dyDescent="0.3">
      <c r="E10" s="24" t="s">
        <v>49</v>
      </c>
      <c r="F10" s="31">
        <f>(80+MID(Enunciado!C$3,2,1))*700</f>
        <v>59500</v>
      </c>
      <c r="G10" s="26"/>
      <c r="H10" s="18" t="s">
        <v>25</v>
      </c>
      <c r="I10" s="31">
        <f>(45+MID(Enunciado!C$3,5,1))*1000</f>
        <v>48000</v>
      </c>
      <c r="J10" s="17"/>
    </row>
    <row r="11" spans="2:10" ht="15.75" x14ac:dyDescent="0.25">
      <c r="F11" s="7"/>
      <c r="G11" s="29">
        <v>0.65</v>
      </c>
      <c r="H11" s="9"/>
      <c r="I11" s="17"/>
      <c r="J11" s="17"/>
    </row>
    <row r="12" spans="2:10" ht="15.75" x14ac:dyDescent="0.25">
      <c r="B12" s="20" t="s">
        <v>38</v>
      </c>
      <c r="F12" s="7"/>
      <c r="G12" s="28"/>
      <c r="H12" s="18" t="s">
        <v>29</v>
      </c>
      <c r="I12" s="31">
        <f>(15+MID(Enunciado!C$3,6,1))*1000</f>
        <v>20000</v>
      </c>
      <c r="J12" s="17"/>
    </row>
    <row r="13" spans="2:10" ht="15.75" x14ac:dyDescent="0.25">
      <c r="B13" s="21" t="s">
        <v>39</v>
      </c>
      <c r="F13" s="7"/>
      <c r="G13" s="28"/>
      <c r="H13" s="23"/>
      <c r="I13" s="17"/>
      <c r="J13" s="17"/>
    </row>
    <row r="14" spans="2:10" ht="15.75" x14ac:dyDescent="0.25">
      <c r="C14" s="17"/>
      <c r="F14" s="7"/>
      <c r="G14" s="28"/>
      <c r="H14" s="18" t="s">
        <v>46</v>
      </c>
      <c r="I14" s="31">
        <f>(400+MID(Enunciado!C$3,7,1))*1200</f>
        <v>489600</v>
      </c>
      <c r="J14" s="17"/>
    </row>
    <row r="15" spans="2:10" ht="15.75" x14ac:dyDescent="0.25">
      <c r="B15" s="17"/>
      <c r="C15" s="17"/>
      <c r="D15" s="9"/>
      <c r="E15" s="9" t="s">
        <v>51</v>
      </c>
      <c r="F15" s="32">
        <f>(I14*G15+I16*G16+I18*G17)-F17</f>
        <v>113380</v>
      </c>
      <c r="G15" s="29">
        <v>0.3</v>
      </c>
      <c r="H15" s="9"/>
      <c r="I15" s="17"/>
      <c r="J15" s="17"/>
    </row>
    <row r="16" spans="2:10" ht="15.75" x14ac:dyDescent="0.25">
      <c r="B16" s="17"/>
      <c r="C16" s="17"/>
      <c r="D16" s="9"/>
      <c r="E16" s="17"/>
      <c r="F16" s="18" t="s">
        <v>44</v>
      </c>
      <c r="G16" s="29">
        <v>0.4</v>
      </c>
      <c r="H16" s="18" t="s">
        <v>25</v>
      </c>
      <c r="I16" s="31">
        <f>(20+MID(Enunciado!C$3,7,1))*1000</f>
        <v>28000</v>
      </c>
      <c r="J16" s="17"/>
    </row>
    <row r="17" spans="2:10" ht="18.75" x14ac:dyDescent="0.3">
      <c r="B17" s="17"/>
      <c r="C17" s="17"/>
      <c r="D17" s="9"/>
      <c r="E17" s="24" t="s">
        <v>49</v>
      </c>
      <c r="F17" s="31">
        <f>(30+MID(Enunciado!C$3,3,1))*1300</f>
        <v>46800</v>
      </c>
      <c r="G17" s="29">
        <v>0.3</v>
      </c>
      <c r="H17" s="9"/>
      <c r="I17" s="17"/>
      <c r="J17" s="17"/>
    </row>
    <row r="18" spans="2:10" ht="15.75" x14ac:dyDescent="0.25">
      <c r="B18" s="17"/>
      <c r="C18" s="17"/>
      <c r="D18" s="18" t="s">
        <v>41</v>
      </c>
      <c r="E18" s="17"/>
      <c r="F18" s="9"/>
      <c r="G18" s="28"/>
      <c r="H18" s="18" t="s">
        <v>29</v>
      </c>
      <c r="I18" s="31">
        <f>(6+MID(Enunciado!C$3,8,1))*1000</f>
        <v>7000</v>
      </c>
    </row>
    <row r="19" spans="2:10" ht="15.75" x14ac:dyDescent="0.25">
      <c r="B19" s="17"/>
      <c r="C19" s="17"/>
      <c r="D19" s="17"/>
      <c r="E19" s="9" t="s">
        <v>51</v>
      </c>
      <c r="F19" s="32">
        <f>(I20*0.6+I22*G21)-F21</f>
        <v>5200</v>
      </c>
      <c r="G19" s="28"/>
      <c r="H19" s="9"/>
    </row>
    <row r="20" spans="2:10" ht="15.75" x14ac:dyDescent="0.25">
      <c r="B20" s="17"/>
      <c r="C20" s="17"/>
      <c r="D20" s="17"/>
      <c r="E20" s="17"/>
      <c r="F20" s="18" t="s">
        <v>45</v>
      </c>
      <c r="G20" s="29">
        <v>0.6</v>
      </c>
      <c r="H20" s="18" t="s">
        <v>46</v>
      </c>
      <c r="I20" s="31">
        <f>(40+MID(Enunciado!C$3,1,1))*1000</f>
        <v>43000</v>
      </c>
    </row>
    <row r="21" spans="2:10" ht="18.75" x14ac:dyDescent="0.3">
      <c r="B21" s="17"/>
      <c r="C21" s="17"/>
      <c r="D21" s="17"/>
      <c r="E21" s="24" t="s">
        <v>49</v>
      </c>
      <c r="F21" s="31">
        <f>(20+MID(Enunciado!C$3,2,1))*1000</f>
        <v>25000</v>
      </c>
      <c r="G21" s="29">
        <v>0.4</v>
      </c>
      <c r="H21" s="9"/>
    </row>
    <row r="22" spans="2:10" ht="15.75" x14ac:dyDescent="0.25">
      <c r="G22" s="30"/>
      <c r="H22" s="18" t="s">
        <v>29</v>
      </c>
      <c r="I22" s="31">
        <f>(6+MID(Enunciado!C$3,2,1))*1000</f>
        <v>11000</v>
      </c>
    </row>
    <row r="23" spans="2:10" x14ac:dyDescent="0.25">
      <c r="G23" s="30"/>
    </row>
    <row r="24" spans="2:10" ht="18.75" x14ac:dyDescent="0.3">
      <c r="D24" s="42" t="s">
        <v>73</v>
      </c>
      <c r="F24" s="42" t="s">
        <v>73</v>
      </c>
      <c r="G24" s="22"/>
      <c r="H24" s="42" t="s">
        <v>72</v>
      </c>
    </row>
    <row r="26" spans="2:10" x14ac:dyDescent="0.25">
      <c r="D26" t="s">
        <v>76</v>
      </c>
      <c r="F26" s="8" t="str">
        <f>IF(MAX(F4,F8,F15,F19,)=F4,"NUEVO PRODUCTO DESARROLLO COMPLETO",IF(MAX(F4,F8,F15,F19,)=F8,"NUEVO PRODUCTO DESARROLLO RÁPIDO",IF(MAX(F4,F8,F15,F19,)=F15,"CONSOLIDAR Y MEJORAR PRODUCTOS",IF(MAX(F4,F8,F15,F19,)=F19,"CONSOLIDAR Y AUMENTAR PUBLICIDAD",""))))</f>
        <v>NUEVO PRODUCTO DESARROLLO COMPLETO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Matriz Probabilidad-Impacto</vt:lpstr>
      <vt:lpstr>EMV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2023-05-17T14:28:27Z</dcterms:modified>
</cp:coreProperties>
</file>