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380"/>
  </bookViews>
  <sheets>
    <sheet name="Data A" sheetId="1" r:id="rId1"/>
    <sheet name="Data B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5" i="1"/>
  <c r="V157"/>
  <c r="V149"/>
  <c r="W150"/>
  <c r="W151"/>
  <c r="W152"/>
  <c r="W153"/>
  <c r="W154"/>
  <c r="W155"/>
  <c r="W156"/>
  <c r="W157"/>
  <c r="W158"/>
  <c r="W159"/>
  <c r="W160"/>
  <c r="W161"/>
  <c r="W162"/>
  <c r="W163"/>
  <c r="W164"/>
  <c r="W165"/>
  <c r="W149"/>
  <c r="X15"/>
  <c r="W10"/>
  <c r="W11"/>
  <c r="W12"/>
  <c r="W13"/>
  <c r="W14"/>
  <c r="W15"/>
  <c r="W16"/>
  <c r="W17"/>
  <c r="W18"/>
  <c r="W19"/>
  <c r="W20"/>
  <c r="W21"/>
  <c r="W22"/>
  <c r="W23"/>
  <c r="W24"/>
  <c r="W25"/>
  <c r="W9"/>
  <c r="V9"/>
  <c r="I71" i="2"/>
  <c r="I72"/>
  <c r="I73"/>
  <c r="I74"/>
  <c r="I75"/>
  <c r="I76"/>
  <c r="I77"/>
  <c r="I78"/>
  <c r="I79"/>
  <c r="I80"/>
  <c r="I81"/>
  <c r="I82"/>
  <c r="I83"/>
  <c r="I84"/>
  <c r="I85"/>
  <c r="I86"/>
  <c r="I70"/>
  <c r="H70"/>
  <c r="H71"/>
  <c r="H72"/>
  <c r="H73"/>
  <c r="H74"/>
  <c r="H75"/>
  <c r="H76"/>
  <c r="H77"/>
  <c r="H78"/>
  <c r="H79"/>
  <c r="H80"/>
  <c r="H81"/>
  <c r="H82"/>
  <c r="H83"/>
  <c r="H84"/>
  <c r="H85"/>
  <c r="H86"/>
  <c r="P130"/>
  <c r="Q71"/>
  <c r="Q72"/>
  <c r="Q73"/>
  <c r="Q74"/>
  <c r="Q75"/>
  <c r="Q76"/>
  <c r="Q77"/>
  <c r="Q78"/>
  <c r="Q79"/>
  <c r="Q80"/>
  <c r="Q81"/>
  <c r="Q82"/>
  <c r="Q83"/>
  <c r="Q84"/>
  <c r="Q85"/>
  <c r="Q86"/>
  <c r="Q70"/>
  <c r="P70"/>
  <c r="P71"/>
  <c r="P72"/>
  <c r="P73"/>
  <c r="P74"/>
  <c r="P75"/>
  <c r="P76"/>
  <c r="P77"/>
  <c r="P78"/>
  <c r="P79"/>
  <c r="P80"/>
  <c r="P81"/>
  <c r="P82"/>
  <c r="P83"/>
  <c r="P84"/>
  <c r="P85"/>
  <c r="P86"/>
  <c r="P50"/>
  <c r="Y171"/>
  <c r="Y172"/>
  <c r="Y173"/>
  <c r="Y174"/>
  <c r="Y175"/>
  <c r="Y176"/>
  <c r="Y177"/>
  <c r="Y178"/>
  <c r="Y179"/>
  <c r="Y180"/>
  <c r="Y181"/>
  <c r="Y182"/>
  <c r="Y183"/>
  <c r="Y184"/>
  <c r="Y185"/>
  <c r="Y186"/>
  <c r="Y170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P150"/>
  <c r="Y166"/>
  <c r="Y151"/>
  <c r="Y152"/>
  <c r="Y153"/>
  <c r="Y154"/>
  <c r="Y155"/>
  <c r="Y156"/>
  <c r="Y157"/>
  <c r="Y158"/>
  <c r="Y159"/>
  <c r="Y160"/>
  <c r="Y161"/>
  <c r="Y162"/>
  <c r="Y163"/>
  <c r="Y164"/>
  <c r="Y165"/>
  <c r="Y150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30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70"/>
  <c r="Y111"/>
  <c r="Y112"/>
  <c r="Y113"/>
  <c r="Y114"/>
  <c r="Y115"/>
  <c r="Y116"/>
  <c r="Y117"/>
  <c r="Y118"/>
  <c r="Y119"/>
  <c r="Y120"/>
  <c r="Y121"/>
  <c r="Y122"/>
  <c r="Y123"/>
  <c r="Y124"/>
  <c r="Y125"/>
  <c r="Y126"/>
  <c r="Y110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90"/>
  <c r="Y91"/>
  <c r="Y92"/>
  <c r="Y93"/>
  <c r="Y94"/>
  <c r="Y95"/>
  <c r="Y96"/>
  <c r="Y97"/>
  <c r="Y98"/>
  <c r="Y99"/>
  <c r="Y100"/>
  <c r="Y101"/>
  <c r="Y102"/>
  <c r="Y103"/>
  <c r="Y104"/>
  <c r="Y105"/>
  <c r="Y106"/>
  <c r="Y90"/>
  <c r="X91"/>
  <c r="X92"/>
  <c r="X93"/>
  <c r="X94"/>
  <c r="X95"/>
  <c r="X96"/>
  <c r="X97"/>
  <c r="X98"/>
  <c r="X99"/>
  <c r="X100"/>
  <c r="X101"/>
  <c r="X102"/>
  <c r="X103"/>
  <c r="X104"/>
  <c r="X105"/>
  <c r="X106"/>
  <c r="X50"/>
  <c r="Y71"/>
  <c r="Y72"/>
  <c r="Y73"/>
  <c r="Y74"/>
  <c r="Y75"/>
  <c r="Y76"/>
  <c r="Y77"/>
  <c r="Y78"/>
  <c r="Y79"/>
  <c r="Y80"/>
  <c r="Y81"/>
  <c r="Y82"/>
  <c r="Y83"/>
  <c r="Y84"/>
  <c r="Y85"/>
  <c r="Y86"/>
  <c r="Y70"/>
  <c r="X71"/>
  <c r="X72"/>
  <c r="X73"/>
  <c r="X74"/>
  <c r="X75"/>
  <c r="X76"/>
  <c r="X77"/>
  <c r="X78"/>
  <c r="X79"/>
  <c r="X80"/>
  <c r="X81"/>
  <c r="X82"/>
  <c r="X83"/>
  <c r="X84"/>
  <c r="X85"/>
  <c r="X86"/>
  <c r="X10"/>
  <c r="Y51"/>
  <c r="Y52"/>
  <c r="Y53"/>
  <c r="Y54"/>
  <c r="Y55"/>
  <c r="Y56"/>
  <c r="Y57"/>
  <c r="Y58"/>
  <c r="Y59"/>
  <c r="Y60"/>
  <c r="Y61"/>
  <c r="Y62"/>
  <c r="Y63"/>
  <c r="Y64"/>
  <c r="Y65"/>
  <c r="Y66"/>
  <c r="Y50"/>
  <c r="X51"/>
  <c r="X52"/>
  <c r="X53"/>
  <c r="X54"/>
  <c r="X55"/>
  <c r="X56"/>
  <c r="X57"/>
  <c r="X58"/>
  <c r="X59"/>
  <c r="X60"/>
  <c r="X61"/>
  <c r="X62"/>
  <c r="X63"/>
  <c r="X64"/>
  <c r="X65"/>
  <c r="X66"/>
  <c r="Y31"/>
  <c r="Y32"/>
  <c r="Y33"/>
  <c r="Y34"/>
  <c r="Y35"/>
  <c r="Y36"/>
  <c r="Y37"/>
  <c r="Y38"/>
  <c r="Y39"/>
  <c r="Y40"/>
  <c r="Y41"/>
  <c r="Y42"/>
  <c r="Y43"/>
  <c r="Y44"/>
  <c r="Y45"/>
  <c r="Y46"/>
  <c r="Y30"/>
  <c r="X31"/>
  <c r="X32"/>
  <c r="X33"/>
  <c r="X34"/>
  <c r="X35"/>
  <c r="X36"/>
  <c r="X37"/>
  <c r="X38"/>
  <c r="X39"/>
  <c r="X40"/>
  <c r="X41"/>
  <c r="X42"/>
  <c r="X43"/>
  <c r="X44"/>
  <c r="X45"/>
  <c r="X46"/>
  <c r="Y11"/>
  <c r="Y12"/>
  <c r="Y13"/>
  <c r="Y14"/>
  <c r="Y15"/>
  <c r="Y16"/>
  <c r="Y17"/>
  <c r="Y18"/>
  <c r="Y19"/>
  <c r="Y20"/>
  <c r="Y21"/>
  <c r="Y22"/>
  <c r="Y23"/>
  <c r="Y24"/>
  <c r="Y25"/>
  <c r="Y26"/>
  <c r="Y10"/>
  <c r="X11"/>
  <c r="X12"/>
  <c r="X13"/>
  <c r="X14"/>
  <c r="X15"/>
  <c r="X16"/>
  <c r="X17"/>
  <c r="X18"/>
  <c r="X19"/>
  <c r="X20"/>
  <c r="X21"/>
  <c r="X22"/>
  <c r="X23"/>
  <c r="X24"/>
  <c r="X25"/>
  <c r="X26"/>
  <c r="P30"/>
  <c r="Q171"/>
  <c r="Q172"/>
  <c r="Q173"/>
  <c r="Q174"/>
  <c r="Q175"/>
  <c r="Q176"/>
  <c r="Q177"/>
  <c r="Q178"/>
  <c r="Q179"/>
  <c r="Q180"/>
  <c r="Q181"/>
  <c r="Q182"/>
  <c r="Q183"/>
  <c r="Q184"/>
  <c r="Q185"/>
  <c r="Q186"/>
  <c r="Q170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Q151"/>
  <c r="Q152"/>
  <c r="Q153"/>
  <c r="Q154"/>
  <c r="Q155"/>
  <c r="Q156"/>
  <c r="Q157"/>
  <c r="Q158"/>
  <c r="Q159"/>
  <c r="Q160"/>
  <c r="Q161"/>
  <c r="Q162"/>
  <c r="Q163"/>
  <c r="Q164"/>
  <c r="Q165"/>
  <c r="Q166"/>
  <c r="Q150"/>
  <c r="P151"/>
  <c r="P152"/>
  <c r="P153"/>
  <c r="P154"/>
  <c r="P155"/>
  <c r="P156"/>
  <c r="P157"/>
  <c r="P158"/>
  <c r="P159"/>
  <c r="P160"/>
  <c r="P161"/>
  <c r="P162"/>
  <c r="P163"/>
  <c r="P164"/>
  <c r="P165"/>
  <c r="P166"/>
  <c r="Q131"/>
  <c r="Q132"/>
  <c r="Q133"/>
  <c r="Q134"/>
  <c r="Q135"/>
  <c r="Q136"/>
  <c r="Q137"/>
  <c r="Q138"/>
  <c r="Q139"/>
  <c r="Q140"/>
  <c r="Q141"/>
  <c r="Q142"/>
  <c r="Q143"/>
  <c r="Q144"/>
  <c r="Q145"/>
  <c r="Q146"/>
  <c r="Q130"/>
  <c r="P131"/>
  <c r="P132"/>
  <c r="P133"/>
  <c r="P134"/>
  <c r="P135"/>
  <c r="P136"/>
  <c r="P137"/>
  <c r="P138"/>
  <c r="P139"/>
  <c r="P140"/>
  <c r="P141"/>
  <c r="P142"/>
  <c r="P143"/>
  <c r="P144"/>
  <c r="P145"/>
  <c r="P146"/>
  <c r="Q111"/>
  <c r="Q112"/>
  <c r="Q113"/>
  <c r="Q114"/>
  <c r="Q115"/>
  <c r="Q116"/>
  <c r="Q117"/>
  <c r="Q118"/>
  <c r="Q119"/>
  <c r="Q120"/>
  <c r="Q121"/>
  <c r="Q122"/>
  <c r="Q123"/>
  <c r="Q124"/>
  <c r="Q125"/>
  <c r="Q126"/>
  <c r="Q110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Q91"/>
  <c r="Q92"/>
  <c r="Q93"/>
  <c r="Q94"/>
  <c r="Q95"/>
  <c r="Q96"/>
  <c r="Q97"/>
  <c r="Q98"/>
  <c r="Q99"/>
  <c r="Q100"/>
  <c r="Q101"/>
  <c r="Q102"/>
  <c r="Q103"/>
  <c r="Q104"/>
  <c r="Q105"/>
  <c r="Q106"/>
  <c r="Q90"/>
  <c r="P90"/>
  <c r="P91"/>
  <c r="P92"/>
  <c r="P93"/>
  <c r="P94"/>
  <c r="P95"/>
  <c r="P96"/>
  <c r="P97"/>
  <c r="P98"/>
  <c r="P99"/>
  <c r="P100"/>
  <c r="P101"/>
  <c r="P102"/>
  <c r="P103"/>
  <c r="P104"/>
  <c r="P105"/>
  <c r="P106"/>
  <c r="P51"/>
  <c r="P52"/>
  <c r="P53"/>
  <c r="P54"/>
  <c r="P55"/>
  <c r="P56"/>
  <c r="P57"/>
  <c r="P58"/>
  <c r="P59"/>
  <c r="P60"/>
  <c r="P61"/>
  <c r="P62"/>
  <c r="P63"/>
  <c r="P64"/>
  <c r="P65"/>
  <c r="P66"/>
  <c r="Q31"/>
  <c r="Q32"/>
  <c r="R36" s="1"/>
  <c r="Q33"/>
  <c r="Q34"/>
  <c r="Q35"/>
  <c r="Q36"/>
  <c r="Q37"/>
  <c r="Q38"/>
  <c r="Q39"/>
  <c r="Q40"/>
  <c r="Q41"/>
  <c r="Q42"/>
  <c r="Q43"/>
  <c r="Q44"/>
  <c r="Q45"/>
  <c r="Q46"/>
  <c r="Q30"/>
  <c r="P31"/>
  <c r="P32"/>
  <c r="P33"/>
  <c r="P34"/>
  <c r="P35"/>
  <c r="P36"/>
  <c r="P37"/>
  <c r="P38"/>
  <c r="P39"/>
  <c r="P40"/>
  <c r="P41"/>
  <c r="P42"/>
  <c r="P43"/>
  <c r="P44"/>
  <c r="P45"/>
  <c r="P46"/>
  <c r="Q11"/>
  <c r="Q12"/>
  <c r="Q13"/>
  <c r="Q14"/>
  <c r="Q15"/>
  <c r="Q16"/>
  <c r="Q17"/>
  <c r="Q18"/>
  <c r="Q19"/>
  <c r="Q20"/>
  <c r="Q21"/>
  <c r="Q22"/>
  <c r="Q23"/>
  <c r="Q24"/>
  <c r="Q25"/>
  <c r="Q26"/>
  <c r="Q10"/>
  <c r="P10"/>
  <c r="P11"/>
  <c r="P12"/>
  <c r="P13"/>
  <c r="P14"/>
  <c r="P15"/>
  <c r="P16"/>
  <c r="P17"/>
  <c r="P18"/>
  <c r="P19"/>
  <c r="P20"/>
  <c r="P21"/>
  <c r="P22"/>
  <c r="P23"/>
  <c r="P24"/>
  <c r="P25"/>
  <c r="P26"/>
  <c r="I171"/>
  <c r="I172"/>
  <c r="I173"/>
  <c r="I174"/>
  <c r="I175"/>
  <c r="I176"/>
  <c r="I177"/>
  <c r="I178"/>
  <c r="I179"/>
  <c r="I180"/>
  <c r="I181"/>
  <c r="I182"/>
  <c r="I183"/>
  <c r="I184"/>
  <c r="I185"/>
  <c r="I186"/>
  <c r="I170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I151"/>
  <c r="I152"/>
  <c r="I153"/>
  <c r="I154"/>
  <c r="I155"/>
  <c r="I156"/>
  <c r="I157"/>
  <c r="I158"/>
  <c r="I159"/>
  <c r="I160"/>
  <c r="I161"/>
  <c r="I162"/>
  <c r="I163"/>
  <c r="I164"/>
  <c r="I165"/>
  <c r="I166"/>
  <c r="I150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I131"/>
  <c r="I132"/>
  <c r="I133"/>
  <c r="I134"/>
  <c r="I135"/>
  <c r="I136"/>
  <c r="I137"/>
  <c r="I138"/>
  <c r="I139"/>
  <c r="I140"/>
  <c r="I141"/>
  <c r="I142"/>
  <c r="I143"/>
  <c r="I144"/>
  <c r="I145"/>
  <c r="I146"/>
  <c r="I130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I111"/>
  <c r="I112"/>
  <c r="I113"/>
  <c r="I114"/>
  <c r="I115"/>
  <c r="I116"/>
  <c r="I117"/>
  <c r="I118"/>
  <c r="I119"/>
  <c r="I120"/>
  <c r="I121"/>
  <c r="I122"/>
  <c r="I123"/>
  <c r="I124"/>
  <c r="I125"/>
  <c r="I126"/>
  <c r="I110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I91"/>
  <c r="I92"/>
  <c r="I93"/>
  <c r="I94"/>
  <c r="I95"/>
  <c r="I96"/>
  <c r="I97"/>
  <c r="I98"/>
  <c r="I99"/>
  <c r="I100"/>
  <c r="I101"/>
  <c r="I102"/>
  <c r="I103"/>
  <c r="I104"/>
  <c r="I105"/>
  <c r="I106"/>
  <c r="I90"/>
  <c r="H90"/>
  <c r="H91"/>
  <c r="H92"/>
  <c r="H93"/>
  <c r="H94"/>
  <c r="H95"/>
  <c r="H96"/>
  <c r="H97"/>
  <c r="H98"/>
  <c r="H99"/>
  <c r="H100"/>
  <c r="H101"/>
  <c r="H102"/>
  <c r="H103"/>
  <c r="H104"/>
  <c r="H105"/>
  <c r="H106"/>
  <c r="I51"/>
  <c r="I52"/>
  <c r="I53"/>
  <c r="I54"/>
  <c r="I55"/>
  <c r="I56"/>
  <c r="I57"/>
  <c r="I58"/>
  <c r="I59"/>
  <c r="I60"/>
  <c r="I61"/>
  <c r="I62"/>
  <c r="I63"/>
  <c r="I64"/>
  <c r="I65"/>
  <c r="I66"/>
  <c r="I50"/>
  <c r="H50"/>
  <c r="H51"/>
  <c r="H52"/>
  <c r="H53"/>
  <c r="H54"/>
  <c r="H55"/>
  <c r="H56"/>
  <c r="H57"/>
  <c r="H58"/>
  <c r="H59"/>
  <c r="H60"/>
  <c r="H61"/>
  <c r="H62"/>
  <c r="H63"/>
  <c r="H64"/>
  <c r="H65"/>
  <c r="H66"/>
  <c r="I31"/>
  <c r="I32"/>
  <c r="I33"/>
  <c r="I34"/>
  <c r="I35"/>
  <c r="I36"/>
  <c r="I37"/>
  <c r="I38"/>
  <c r="I39"/>
  <c r="I40"/>
  <c r="I41"/>
  <c r="I42"/>
  <c r="I43"/>
  <c r="I44"/>
  <c r="I45"/>
  <c r="I46"/>
  <c r="I30"/>
  <c r="H30"/>
  <c r="H31"/>
  <c r="H32"/>
  <c r="H33"/>
  <c r="H34"/>
  <c r="H35"/>
  <c r="H36"/>
  <c r="H37"/>
  <c r="H38"/>
  <c r="H39"/>
  <c r="H40"/>
  <c r="H41"/>
  <c r="H42"/>
  <c r="H43"/>
  <c r="H44"/>
  <c r="H45"/>
  <c r="H46"/>
  <c r="I11"/>
  <c r="J16" s="1"/>
  <c r="I12"/>
  <c r="I13"/>
  <c r="I14"/>
  <c r="I15"/>
  <c r="I16"/>
  <c r="I17"/>
  <c r="I18"/>
  <c r="I19"/>
  <c r="I20"/>
  <c r="I21"/>
  <c r="I22"/>
  <c r="I23"/>
  <c r="I24"/>
  <c r="I25"/>
  <c r="I26"/>
  <c r="I10"/>
  <c r="H10"/>
  <c r="H11"/>
  <c r="H12"/>
  <c r="H13"/>
  <c r="H14"/>
  <c r="H15"/>
  <c r="H16"/>
  <c r="H17"/>
  <c r="H18"/>
  <c r="H19"/>
  <c r="H20"/>
  <c r="H21"/>
  <c r="H22"/>
  <c r="H23"/>
  <c r="H24"/>
  <c r="H25"/>
  <c r="H26"/>
  <c r="AE169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W169"/>
  <c r="W170" s="1"/>
  <c r="O169"/>
  <c r="O170" s="1"/>
  <c r="G169"/>
  <c r="G170" s="1"/>
  <c r="AE150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W150"/>
  <c r="O150"/>
  <c r="O151" s="1"/>
  <c r="G150"/>
  <c r="AE130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W130"/>
  <c r="W131" s="1"/>
  <c r="O130"/>
  <c r="G130"/>
  <c r="G131" s="1"/>
  <c r="AE110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W110"/>
  <c r="O110"/>
  <c r="O111" s="1"/>
  <c r="G110"/>
  <c r="AE90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W90"/>
  <c r="W91" s="1"/>
  <c r="O90"/>
  <c r="G90"/>
  <c r="G91" s="1"/>
  <c r="G71"/>
  <c r="AE70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W70"/>
  <c r="O70"/>
  <c r="O71" s="1"/>
  <c r="G70"/>
  <c r="AE5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50"/>
  <c r="W50"/>
  <c r="W51" s="1"/>
  <c r="Q50"/>
  <c r="O50"/>
  <c r="G50"/>
  <c r="G51" s="1"/>
  <c r="J36"/>
  <c r="Z36"/>
  <c r="Z16"/>
  <c r="AE170" i="1"/>
  <c r="AE171"/>
  <c r="AE172"/>
  <c r="AE173"/>
  <c r="AE174"/>
  <c r="AE175"/>
  <c r="AE176"/>
  <c r="AE177"/>
  <c r="AE178"/>
  <c r="AE179"/>
  <c r="AE180"/>
  <c r="AE181"/>
  <c r="AE182"/>
  <c r="AE183"/>
  <c r="AE184"/>
  <c r="AE185"/>
  <c r="AE169"/>
  <c r="AF175" s="1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49"/>
  <c r="AF155" s="1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29"/>
  <c r="AF135" s="1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09"/>
  <c r="AF115" s="1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E90"/>
  <c r="AE91"/>
  <c r="AE92"/>
  <c r="AE93"/>
  <c r="AE94"/>
  <c r="AE95"/>
  <c r="AE96"/>
  <c r="AE97"/>
  <c r="AE98"/>
  <c r="AE99"/>
  <c r="AE100"/>
  <c r="AE101"/>
  <c r="AE102"/>
  <c r="AE103"/>
  <c r="AE104"/>
  <c r="AE105"/>
  <c r="AE89"/>
  <c r="AF95" s="1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E70"/>
  <c r="AE71"/>
  <c r="AE72"/>
  <c r="AE73"/>
  <c r="AE74"/>
  <c r="AE75"/>
  <c r="AE76"/>
  <c r="AE77"/>
  <c r="AE78"/>
  <c r="AE79"/>
  <c r="AE80"/>
  <c r="AE81"/>
  <c r="AE82"/>
  <c r="AE83"/>
  <c r="AE84"/>
  <c r="AE85"/>
  <c r="AE69"/>
  <c r="AF75" s="1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E50"/>
  <c r="AE51"/>
  <c r="AE52"/>
  <c r="AE53"/>
  <c r="AE54"/>
  <c r="AE55"/>
  <c r="AE56"/>
  <c r="AE57"/>
  <c r="AE58"/>
  <c r="AE59"/>
  <c r="AE60"/>
  <c r="AE61"/>
  <c r="AE62"/>
  <c r="AE63"/>
  <c r="AE64"/>
  <c r="AE65"/>
  <c r="AE49"/>
  <c r="AF55" s="1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E30"/>
  <c r="AE31"/>
  <c r="AE32"/>
  <c r="AE33"/>
  <c r="AE34"/>
  <c r="AE35"/>
  <c r="AE36"/>
  <c r="AE37"/>
  <c r="AE38"/>
  <c r="AE39"/>
  <c r="AE40"/>
  <c r="AE41"/>
  <c r="AE42"/>
  <c r="AE43"/>
  <c r="AE44"/>
  <c r="AE45"/>
  <c r="AE29"/>
  <c r="AF35" s="1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E10"/>
  <c r="AE11"/>
  <c r="AE12"/>
  <c r="AE13"/>
  <c r="AE14"/>
  <c r="AE15"/>
  <c r="AE16"/>
  <c r="AE17"/>
  <c r="AE18"/>
  <c r="AE19"/>
  <c r="AE20"/>
  <c r="AE21"/>
  <c r="AE22"/>
  <c r="AE23"/>
  <c r="AE24"/>
  <c r="AE25"/>
  <c r="AE9"/>
  <c r="AF15" s="1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W170"/>
  <c r="W171"/>
  <c r="W172"/>
  <c r="W173"/>
  <c r="W174"/>
  <c r="W175"/>
  <c r="W176"/>
  <c r="W177"/>
  <c r="W178"/>
  <c r="W179"/>
  <c r="W180"/>
  <c r="W181"/>
  <c r="W182"/>
  <c r="W183"/>
  <c r="W184"/>
  <c r="W185"/>
  <c r="W169"/>
  <c r="X175" s="1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50"/>
  <c r="V151"/>
  <c r="V152"/>
  <c r="V153"/>
  <c r="V154"/>
  <c r="V155"/>
  <c r="V156"/>
  <c r="V158"/>
  <c r="V159"/>
  <c r="V160"/>
  <c r="V161"/>
  <c r="V162"/>
  <c r="V163"/>
  <c r="V164"/>
  <c r="V165"/>
  <c r="W130"/>
  <c r="W131"/>
  <c r="W132"/>
  <c r="W133"/>
  <c r="W134"/>
  <c r="W135"/>
  <c r="W136"/>
  <c r="W137"/>
  <c r="W138"/>
  <c r="W139"/>
  <c r="W140"/>
  <c r="W141"/>
  <c r="W142"/>
  <c r="W143"/>
  <c r="W144"/>
  <c r="W145"/>
  <c r="W129"/>
  <c r="X135" s="1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W110"/>
  <c r="W111"/>
  <c r="W112"/>
  <c r="W113"/>
  <c r="W114"/>
  <c r="W115"/>
  <c r="W116"/>
  <c r="W117"/>
  <c r="W118"/>
  <c r="W119"/>
  <c r="W120"/>
  <c r="W121"/>
  <c r="W122"/>
  <c r="W123"/>
  <c r="W124"/>
  <c r="W125"/>
  <c r="W109"/>
  <c r="X115" s="1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W90"/>
  <c r="W91"/>
  <c r="W92"/>
  <c r="W93"/>
  <c r="W94"/>
  <c r="W95"/>
  <c r="W96"/>
  <c r="W97"/>
  <c r="W98"/>
  <c r="W99"/>
  <c r="W100"/>
  <c r="W101"/>
  <c r="W102"/>
  <c r="W103"/>
  <c r="W104"/>
  <c r="W105"/>
  <c r="W89"/>
  <c r="X95" s="1"/>
  <c r="V89"/>
  <c r="V90"/>
  <c r="V91"/>
  <c r="V92"/>
  <c r="V93"/>
  <c r="V94"/>
  <c r="V95"/>
  <c r="V96"/>
  <c r="V97"/>
  <c r="V98"/>
  <c r="V99"/>
  <c r="V100"/>
  <c r="V101"/>
  <c r="V102"/>
  <c r="V103"/>
  <c r="V104"/>
  <c r="V105"/>
  <c r="W70"/>
  <c r="W71"/>
  <c r="W72"/>
  <c r="W73"/>
  <c r="W74"/>
  <c r="W75"/>
  <c r="W76"/>
  <c r="W77"/>
  <c r="W78"/>
  <c r="W79"/>
  <c r="W80"/>
  <c r="W81"/>
  <c r="W82"/>
  <c r="W83"/>
  <c r="W84"/>
  <c r="W85"/>
  <c r="W69"/>
  <c r="X75" s="1"/>
  <c r="V69"/>
  <c r="V70"/>
  <c r="V71"/>
  <c r="V72"/>
  <c r="V73"/>
  <c r="V74"/>
  <c r="V75"/>
  <c r="V76"/>
  <c r="V77"/>
  <c r="V78"/>
  <c r="V79"/>
  <c r="V80"/>
  <c r="V81"/>
  <c r="V82"/>
  <c r="V83"/>
  <c r="V84"/>
  <c r="V85"/>
  <c r="W50"/>
  <c r="W51"/>
  <c r="W52"/>
  <c r="W53"/>
  <c r="W54"/>
  <c r="W55"/>
  <c r="W56"/>
  <c r="W57"/>
  <c r="W58"/>
  <c r="W59"/>
  <c r="W60"/>
  <c r="W61"/>
  <c r="W62"/>
  <c r="W63"/>
  <c r="W64"/>
  <c r="W65"/>
  <c r="W49"/>
  <c r="X55" s="1"/>
  <c r="V49"/>
  <c r="V50"/>
  <c r="V51"/>
  <c r="V52"/>
  <c r="V53"/>
  <c r="V54"/>
  <c r="V55"/>
  <c r="V56"/>
  <c r="V57"/>
  <c r="V58"/>
  <c r="V59"/>
  <c r="V60"/>
  <c r="V61"/>
  <c r="V62"/>
  <c r="V63"/>
  <c r="V64"/>
  <c r="V65"/>
  <c r="W30"/>
  <c r="W31"/>
  <c r="W32"/>
  <c r="W33"/>
  <c r="W34"/>
  <c r="W35"/>
  <c r="W36"/>
  <c r="W37"/>
  <c r="W38"/>
  <c r="W39"/>
  <c r="W40"/>
  <c r="W41"/>
  <c r="W42"/>
  <c r="W43"/>
  <c r="W44"/>
  <c r="W45"/>
  <c r="W29"/>
  <c r="X35" s="1"/>
  <c r="V30"/>
  <c r="V31"/>
  <c r="V32"/>
  <c r="V33"/>
  <c r="V34"/>
  <c r="V35"/>
  <c r="V36"/>
  <c r="V37"/>
  <c r="V38"/>
  <c r="V39"/>
  <c r="V40"/>
  <c r="V41"/>
  <c r="V42"/>
  <c r="V43"/>
  <c r="V44"/>
  <c r="V45"/>
  <c r="V29"/>
  <c r="V10"/>
  <c r="V11"/>
  <c r="V12"/>
  <c r="V13"/>
  <c r="V14"/>
  <c r="V15"/>
  <c r="V16"/>
  <c r="V17"/>
  <c r="V18"/>
  <c r="V19"/>
  <c r="V20"/>
  <c r="V21"/>
  <c r="V22"/>
  <c r="V23"/>
  <c r="V24"/>
  <c r="V25"/>
  <c r="O170"/>
  <c r="O171"/>
  <c r="O172"/>
  <c r="O173"/>
  <c r="O174"/>
  <c r="O175"/>
  <c r="O176"/>
  <c r="O177"/>
  <c r="O178"/>
  <c r="O179"/>
  <c r="O180"/>
  <c r="O181"/>
  <c r="O182"/>
  <c r="O183"/>
  <c r="O184"/>
  <c r="O185"/>
  <c r="O169"/>
  <c r="P175" s="1"/>
  <c r="N169"/>
  <c r="N171" s="1"/>
  <c r="O150"/>
  <c r="O151"/>
  <c r="O152"/>
  <c r="O153"/>
  <c r="O154"/>
  <c r="O155"/>
  <c r="O156"/>
  <c r="O157"/>
  <c r="O158"/>
  <c r="O159"/>
  <c r="O160"/>
  <c r="O161"/>
  <c r="O162"/>
  <c r="O163"/>
  <c r="O164"/>
  <c r="O165"/>
  <c r="O149"/>
  <c r="P155" s="1"/>
  <c r="N150"/>
  <c r="N151"/>
  <c r="N152"/>
  <c r="N153"/>
  <c r="N154"/>
  <c r="N155"/>
  <c r="N156"/>
  <c r="N157"/>
  <c r="N158"/>
  <c r="N159"/>
  <c r="N160"/>
  <c r="N161"/>
  <c r="N162"/>
  <c r="N163"/>
  <c r="N164"/>
  <c r="N165"/>
  <c r="N149"/>
  <c r="O130"/>
  <c r="O131"/>
  <c r="O132"/>
  <c r="O133"/>
  <c r="O134"/>
  <c r="O135"/>
  <c r="O136"/>
  <c r="O137"/>
  <c r="O138"/>
  <c r="O139"/>
  <c r="O140"/>
  <c r="O141"/>
  <c r="O142"/>
  <c r="O143"/>
  <c r="O144"/>
  <c r="O145"/>
  <c r="O129"/>
  <c r="P135" s="1"/>
  <c r="N130"/>
  <c r="N131"/>
  <c r="N132"/>
  <c r="N133"/>
  <c r="N134"/>
  <c r="N135"/>
  <c r="N136"/>
  <c r="N137"/>
  <c r="N138"/>
  <c r="N139"/>
  <c r="N140"/>
  <c r="N141"/>
  <c r="N142"/>
  <c r="N143"/>
  <c r="N144"/>
  <c r="N145"/>
  <c r="N129"/>
  <c r="O110"/>
  <c r="O111"/>
  <c r="O112"/>
  <c r="O113"/>
  <c r="O114"/>
  <c r="O115"/>
  <c r="O116"/>
  <c r="O117"/>
  <c r="O118"/>
  <c r="O119"/>
  <c r="O120"/>
  <c r="O121"/>
  <c r="O122"/>
  <c r="O123"/>
  <c r="O124"/>
  <c r="O125"/>
  <c r="O109"/>
  <c r="P115" s="1"/>
  <c r="N110"/>
  <c r="N111"/>
  <c r="N112"/>
  <c r="N113"/>
  <c r="N114"/>
  <c r="N115"/>
  <c r="N116"/>
  <c r="N117"/>
  <c r="N118"/>
  <c r="N119"/>
  <c r="N120"/>
  <c r="N121"/>
  <c r="N122"/>
  <c r="N123"/>
  <c r="N124"/>
  <c r="N125"/>
  <c r="N109"/>
  <c r="O90"/>
  <c r="O91"/>
  <c r="O92"/>
  <c r="O93"/>
  <c r="O94"/>
  <c r="O95"/>
  <c r="O96"/>
  <c r="O97"/>
  <c r="O98"/>
  <c r="O99"/>
  <c r="O100"/>
  <c r="O101"/>
  <c r="O102"/>
  <c r="O103"/>
  <c r="O104"/>
  <c r="O105"/>
  <c r="O89"/>
  <c r="P95" s="1"/>
  <c r="N90"/>
  <c r="N91"/>
  <c r="N92"/>
  <c r="N93"/>
  <c r="N94"/>
  <c r="N95"/>
  <c r="N96"/>
  <c r="N97"/>
  <c r="N98"/>
  <c r="N99"/>
  <c r="N100"/>
  <c r="N101"/>
  <c r="N102"/>
  <c r="N103"/>
  <c r="N104"/>
  <c r="N105"/>
  <c r="N89"/>
  <c r="O70"/>
  <c r="O71"/>
  <c r="O72"/>
  <c r="O73"/>
  <c r="O74"/>
  <c r="O75"/>
  <c r="O76"/>
  <c r="O77"/>
  <c r="O78"/>
  <c r="O79"/>
  <c r="O80"/>
  <c r="O81"/>
  <c r="O82"/>
  <c r="O83"/>
  <c r="O84"/>
  <c r="O85"/>
  <c r="O69"/>
  <c r="P75" s="1"/>
  <c r="N70"/>
  <c r="N71"/>
  <c r="N72"/>
  <c r="N73"/>
  <c r="N74"/>
  <c r="N75"/>
  <c r="N76"/>
  <c r="N77"/>
  <c r="N78"/>
  <c r="N79"/>
  <c r="N80"/>
  <c r="N81"/>
  <c r="N82"/>
  <c r="N83"/>
  <c r="N84"/>
  <c r="N85"/>
  <c r="N69"/>
  <c r="O50"/>
  <c r="O51"/>
  <c r="O52"/>
  <c r="O53"/>
  <c r="O54"/>
  <c r="O55"/>
  <c r="O56"/>
  <c r="O57"/>
  <c r="O58"/>
  <c r="O59"/>
  <c r="O60"/>
  <c r="O61"/>
  <c r="O62"/>
  <c r="O63"/>
  <c r="O64"/>
  <c r="O65"/>
  <c r="O49"/>
  <c r="P55" s="1"/>
  <c r="N50"/>
  <c r="N51"/>
  <c r="N52"/>
  <c r="N53"/>
  <c r="N54"/>
  <c r="N55"/>
  <c r="N56"/>
  <c r="N57"/>
  <c r="N58"/>
  <c r="N59"/>
  <c r="N60"/>
  <c r="N61"/>
  <c r="N62"/>
  <c r="N63"/>
  <c r="N64"/>
  <c r="N65"/>
  <c r="N49"/>
  <c r="O45"/>
  <c r="O30"/>
  <c r="O31"/>
  <c r="O32"/>
  <c r="O33"/>
  <c r="O34"/>
  <c r="O35"/>
  <c r="O36"/>
  <c r="O37"/>
  <c r="O38"/>
  <c r="O39"/>
  <c r="O40"/>
  <c r="O41"/>
  <c r="O42"/>
  <c r="O43"/>
  <c r="O44"/>
  <c r="O29"/>
  <c r="P35" s="1"/>
  <c r="N30"/>
  <c r="N31"/>
  <c r="N32"/>
  <c r="N33"/>
  <c r="N34"/>
  <c r="N35"/>
  <c r="N36"/>
  <c r="N37"/>
  <c r="N38"/>
  <c r="N39"/>
  <c r="N40"/>
  <c r="N41"/>
  <c r="N42"/>
  <c r="N43"/>
  <c r="N44"/>
  <c r="N45"/>
  <c r="N29"/>
  <c r="O10"/>
  <c r="O11"/>
  <c r="O12"/>
  <c r="O13"/>
  <c r="O14"/>
  <c r="O15"/>
  <c r="O16"/>
  <c r="O17"/>
  <c r="O18"/>
  <c r="O19"/>
  <c r="O20"/>
  <c r="O21"/>
  <c r="O22"/>
  <c r="O23"/>
  <c r="O24"/>
  <c r="O25"/>
  <c r="O9"/>
  <c r="P15" s="1"/>
  <c r="N10"/>
  <c r="N11"/>
  <c r="N12"/>
  <c r="N13"/>
  <c r="N14"/>
  <c r="N15"/>
  <c r="N16"/>
  <c r="N17"/>
  <c r="N18"/>
  <c r="N19"/>
  <c r="N20"/>
  <c r="N21"/>
  <c r="N22"/>
  <c r="N23"/>
  <c r="N24"/>
  <c r="N25"/>
  <c r="N9"/>
  <c r="AK185"/>
  <c r="AC185"/>
  <c r="U185"/>
  <c r="M185"/>
  <c r="AK184"/>
  <c r="AC184"/>
  <c r="U184"/>
  <c r="M184"/>
  <c r="AK183"/>
  <c r="AC183"/>
  <c r="U183"/>
  <c r="M183"/>
  <c r="AK182"/>
  <c r="AC182"/>
  <c r="U182"/>
  <c r="M182"/>
  <c r="AK181"/>
  <c r="AC181"/>
  <c r="U181"/>
  <c r="M181"/>
  <c r="AK180"/>
  <c r="AC180"/>
  <c r="U180"/>
  <c r="M180"/>
  <c r="AK179"/>
  <c r="AC179"/>
  <c r="U179"/>
  <c r="M179"/>
  <c r="AK178"/>
  <c r="AC178"/>
  <c r="U178"/>
  <c r="M178"/>
  <c r="AK177"/>
  <c r="AC177"/>
  <c r="U177"/>
  <c r="M177"/>
  <c r="AK176"/>
  <c r="AC176"/>
  <c r="U176"/>
  <c r="M176"/>
  <c r="AK175"/>
  <c r="AC175"/>
  <c r="U175"/>
  <c r="M175"/>
  <c r="AK174"/>
  <c r="AC174"/>
  <c r="U174"/>
  <c r="M174"/>
  <c r="AK173"/>
  <c r="AC173"/>
  <c r="U173"/>
  <c r="M173"/>
  <c r="AK172"/>
  <c r="AC172"/>
  <c r="U172"/>
  <c r="M172"/>
  <c r="AK171"/>
  <c r="AC171"/>
  <c r="U171"/>
  <c r="M171"/>
  <c r="AK170"/>
  <c r="AC170"/>
  <c r="U170"/>
  <c r="N170"/>
  <c r="N172" s="1"/>
  <c r="N173" s="1"/>
  <c r="M170"/>
  <c r="AK169"/>
  <c r="AC169"/>
  <c r="U169"/>
  <c r="M169"/>
  <c r="AK168"/>
  <c r="AC168"/>
  <c r="U168"/>
  <c r="M168"/>
  <c r="AK165"/>
  <c r="AC165"/>
  <c r="U165"/>
  <c r="M165"/>
  <c r="AK164"/>
  <c r="AC164"/>
  <c r="U164"/>
  <c r="M164"/>
  <c r="AK163"/>
  <c r="AC163"/>
  <c r="U163"/>
  <c r="M163"/>
  <c r="AK162"/>
  <c r="AC162"/>
  <c r="U162"/>
  <c r="M162"/>
  <c r="AK161"/>
  <c r="AC161"/>
  <c r="U161"/>
  <c r="M161"/>
  <c r="AK160"/>
  <c r="AC160"/>
  <c r="U160"/>
  <c r="M160"/>
  <c r="AK159"/>
  <c r="AC159"/>
  <c r="U159"/>
  <c r="M159"/>
  <c r="AK158"/>
  <c r="AC158"/>
  <c r="U158"/>
  <c r="M158"/>
  <c r="AK157"/>
  <c r="AC157"/>
  <c r="U157"/>
  <c r="M157"/>
  <c r="AK156"/>
  <c r="AC156"/>
  <c r="U156"/>
  <c r="M156"/>
  <c r="AK155"/>
  <c r="AC155"/>
  <c r="U155"/>
  <c r="M155"/>
  <c r="AK154"/>
  <c r="AC154"/>
  <c r="U154"/>
  <c r="M154"/>
  <c r="AK153"/>
  <c r="AC153"/>
  <c r="U153"/>
  <c r="M153"/>
  <c r="AK152"/>
  <c r="AC152"/>
  <c r="U152"/>
  <c r="M152"/>
  <c r="AK151"/>
  <c r="AC151"/>
  <c r="U151"/>
  <c r="M151"/>
  <c r="AK150"/>
  <c r="AC150"/>
  <c r="U150"/>
  <c r="M150"/>
  <c r="AK149"/>
  <c r="AC149"/>
  <c r="U149"/>
  <c r="M149"/>
  <c r="AK145"/>
  <c r="AC145"/>
  <c r="U145"/>
  <c r="M145"/>
  <c r="AK144"/>
  <c r="AC144"/>
  <c r="U144"/>
  <c r="M144"/>
  <c r="AK143"/>
  <c r="AC143"/>
  <c r="U143"/>
  <c r="M143"/>
  <c r="AK142"/>
  <c r="AC142"/>
  <c r="U142"/>
  <c r="M142"/>
  <c r="AK141"/>
  <c r="AC141"/>
  <c r="U141"/>
  <c r="M141"/>
  <c r="AK140"/>
  <c r="AC140"/>
  <c r="U140"/>
  <c r="M140"/>
  <c r="AK139"/>
  <c r="AC139"/>
  <c r="U139"/>
  <c r="M139"/>
  <c r="AK138"/>
  <c r="AC138"/>
  <c r="U138"/>
  <c r="M138"/>
  <c r="AK137"/>
  <c r="AC137"/>
  <c r="U137"/>
  <c r="M137"/>
  <c r="AK136"/>
  <c r="AC136"/>
  <c r="U136"/>
  <c r="M136"/>
  <c r="AK135"/>
  <c r="AC135"/>
  <c r="U135"/>
  <c r="M135"/>
  <c r="AK134"/>
  <c r="AC134"/>
  <c r="U134"/>
  <c r="M134"/>
  <c r="AK133"/>
  <c r="AC133"/>
  <c r="U133"/>
  <c r="M133"/>
  <c r="AK132"/>
  <c r="AC132"/>
  <c r="U132"/>
  <c r="M132"/>
  <c r="AK131"/>
  <c r="AC131"/>
  <c r="U131"/>
  <c r="M131"/>
  <c r="AK130"/>
  <c r="AC130"/>
  <c r="U130"/>
  <c r="M130"/>
  <c r="AK129"/>
  <c r="AC129"/>
  <c r="U129"/>
  <c r="M129"/>
  <c r="AK125"/>
  <c r="AC125"/>
  <c r="U125"/>
  <c r="M125"/>
  <c r="AK124"/>
  <c r="AC124"/>
  <c r="U124"/>
  <c r="M124"/>
  <c r="AK123"/>
  <c r="AC123"/>
  <c r="U123"/>
  <c r="M123"/>
  <c r="AK122"/>
  <c r="AC122"/>
  <c r="U122"/>
  <c r="M122"/>
  <c r="AK121"/>
  <c r="AC121"/>
  <c r="U121"/>
  <c r="M121"/>
  <c r="AK120"/>
  <c r="AC120"/>
  <c r="U120"/>
  <c r="M120"/>
  <c r="AK119"/>
  <c r="AC119"/>
  <c r="U119"/>
  <c r="M119"/>
  <c r="AK118"/>
  <c r="AC118"/>
  <c r="U118"/>
  <c r="M118"/>
  <c r="AK117"/>
  <c r="AC117"/>
  <c r="U117"/>
  <c r="M117"/>
  <c r="AK116"/>
  <c r="AC116"/>
  <c r="U116"/>
  <c r="M116"/>
  <c r="AK115"/>
  <c r="AC115"/>
  <c r="U115"/>
  <c r="M115"/>
  <c r="AK114"/>
  <c r="AC114"/>
  <c r="U114"/>
  <c r="M114"/>
  <c r="AK113"/>
  <c r="AC113"/>
  <c r="U113"/>
  <c r="M113"/>
  <c r="AK112"/>
  <c r="AC112"/>
  <c r="U112"/>
  <c r="M112"/>
  <c r="AK111"/>
  <c r="AC111"/>
  <c r="U111"/>
  <c r="M111"/>
  <c r="AK110"/>
  <c r="AC110"/>
  <c r="U110"/>
  <c r="M110"/>
  <c r="AK109"/>
  <c r="AC109"/>
  <c r="U109"/>
  <c r="M109"/>
  <c r="AK105"/>
  <c r="AC105"/>
  <c r="U105"/>
  <c r="M105"/>
  <c r="AK104"/>
  <c r="AC104"/>
  <c r="U104"/>
  <c r="M104"/>
  <c r="AK103"/>
  <c r="AC103"/>
  <c r="U103"/>
  <c r="M103"/>
  <c r="AK102"/>
  <c r="AC102"/>
  <c r="U102"/>
  <c r="M102"/>
  <c r="AK101"/>
  <c r="AC101"/>
  <c r="U101"/>
  <c r="M101"/>
  <c r="AK100"/>
  <c r="AC100"/>
  <c r="U100"/>
  <c r="M100"/>
  <c r="AK99"/>
  <c r="AC99"/>
  <c r="U99"/>
  <c r="M99"/>
  <c r="AK98"/>
  <c r="AC98"/>
  <c r="U98"/>
  <c r="M98"/>
  <c r="AK97"/>
  <c r="AC97"/>
  <c r="U97"/>
  <c r="M97"/>
  <c r="AK96"/>
  <c r="AC96"/>
  <c r="U96"/>
  <c r="M96"/>
  <c r="AK95"/>
  <c r="AC95"/>
  <c r="U95"/>
  <c r="M95"/>
  <c r="AK94"/>
  <c r="AC94"/>
  <c r="U94"/>
  <c r="M94"/>
  <c r="AK93"/>
  <c r="AC93"/>
  <c r="U93"/>
  <c r="M93"/>
  <c r="AK92"/>
  <c r="AC92"/>
  <c r="U92"/>
  <c r="M92"/>
  <c r="AK91"/>
  <c r="AC91"/>
  <c r="U91"/>
  <c r="M91"/>
  <c r="AK90"/>
  <c r="AC90"/>
  <c r="U90"/>
  <c r="M90"/>
  <c r="AK89"/>
  <c r="AC89"/>
  <c r="U89"/>
  <c r="M89"/>
  <c r="AK85"/>
  <c r="AC85"/>
  <c r="U85"/>
  <c r="M85"/>
  <c r="AK84"/>
  <c r="AC84"/>
  <c r="U84"/>
  <c r="M84"/>
  <c r="AK83"/>
  <c r="AC83"/>
  <c r="U83"/>
  <c r="M83"/>
  <c r="AK82"/>
  <c r="AC82"/>
  <c r="U82"/>
  <c r="M82"/>
  <c r="AK81"/>
  <c r="AC81"/>
  <c r="U81"/>
  <c r="M81"/>
  <c r="AK80"/>
  <c r="AC80"/>
  <c r="U80"/>
  <c r="M80"/>
  <c r="AK79"/>
  <c r="AC79"/>
  <c r="U79"/>
  <c r="M79"/>
  <c r="AK78"/>
  <c r="AC78"/>
  <c r="U78"/>
  <c r="M78"/>
  <c r="AK77"/>
  <c r="AC77"/>
  <c r="U77"/>
  <c r="M77"/>
  <c r="AK76"/>
  <c r="AC76"/>
  <c r="U76"/>
  <c r="M76"/>
  <c r="AK75"/>
  <c r="AC75"/>
  <c r="U75"/>
  <c r="M75"/>
  <c r="AK74"/>
  <c r="AC74"/>
  <c r="U74"/>
  <c r="M74"/>
  <c r="AK73"/>
  <c r="AC73"/>
  <c r="U73"/>
  <c r="M73"/>
  <c r="AK72"/>
  <c r="AC72"/>
  <c r="U72"/>
  <c r="M72"/>
  <c r="AK71"/>
  <c r="AC71"/>
  <c r="U71"/>
  <c r="M71"/>
  <c r="AK70"/>
  <c r="AC70"/>
  <c r="U70"/>
  <c r="M70"/>
  <c r="AK69"/>
  <c r="AC69"/>
  <c r="U69"/>
  <c r="M69"/>
  <c r="AK65"/>
  <c r="AC65"/>
  <c r="U65"/>
  <c r="M65"/>
  <c r="AK64"/>
  <c r="AC64"/>
  <c r="U64"/>
  <c r="M64"/>
  <c r="AK63"/>
  <c r="AC63"/>
  <c r="U63"/>
  <c r="M63"/>
  <c r="AK62"/>
  <c r="AC62"/>
  <c r="U62"/>
  <c r="M62"/>
  <c r="AK61"/>
  <c r="AC61"/>
  <c r="U61"/>
  <c r="M61"/>
  <c r="AK60"/>
  <c r="AC60"/>
  <c r="U60"/>
  <c r="M60"/>
  <c r="AK59"/>
  <c r="AC59"/>
  <c r="U59"/>
  <c r="M59"/>
  <c r="AK58"/>
  <c r="AC58"/>
  <c r="U58"/>
  <c r="M58"/>
  <c r="AK57"/>
  <c r="AC57"/>
  <c r="U57"/>
  <c r="M57"/>
  <c r="AK56"/>
  <c r="AC56"/>
  <c r="U56"/>
  <c r="M56"/>
  <c r="AK55"/>
  <c r="AC55"/>
  <c r="U55"/>
  <c r="M55"/>
  <c r="AK54"/>
  <c r="AC54"/>
  <c r="U54"/>
  <c r="M54"/>
  <c r="AK53"/>
  <c r="AC53"/>
  <c r="U53"/>
  <c r="M53"/>
  <c r="AK52"/>
  <c r="AC52"/>
  <c r="U52"/>
  <c r="M52"/>
  <c r="AK51"/>
  <c r="AC51"/>
  <c r="U51"/>
  <c r="M51"/>
  <c r="AK50"/>
  <c r="AC50"/>
  <c r="U50"/>
  <c r="M50"/>
  <c r="AK49"/>
  <c r="AC49"/>
  <c r="U49"/>
  <c r="M49"/>
  <c r="G92" i="2" l="1"/>
  <c r="W92"/>
  <c r="O112"/>
  <c r="G52"/>
  <c r="W52"/>
  <c r="O72"/>
  <c r="O91"/>
  <c r="O51"/>
  <c r="W71"/>
  <c r="G72"/>
  <c r="G132"/>
  <c r="O171"/>
  <c r="W132"/>
  <c r="O152"/>
  <c r="G171"/>
  <c r="W171"/>
  <c r="G111"/>
  <c r="W111"/>
  <c r="O131"/>
  <c r="G151"/>
  <c r="W151"/>
  <c r="N174" i="1"/>
  <c r="G152" i="2" l="1"/>
  <c r="G112"/>
  <c r="W172"/>
  <c r="O153"/>
  <c r="O172"/>
  <c r="G73"/>
  <c r="O52"/>
  <c r="Q51"/>
  <c r="O92"/>
  <c r="O73"/>
  <c r="W53"/>
  <c r="G53"/>
  <c r="W152"/>
  <c r="O132"/>
  <c r="W112"/>
  <c r="G172"/>
  <c r="W133"/>
  <c r="G133"/>
  <c r="W72"/>
  <c r="O113"/>
  <c r="W93"/>
  <c r="G93"/>
  <c r="N175" i="1"/>
  <c r="G94" i="2" l="1"/>
  <c r="O114"/>
  <c r="W73"/>
  <c r="G134"/>
  <c r="W113"/>
  <c r="W153"/>
  <c r="G54"/>
  <c r="O74"/>
  <c r="O93"/>
  <c r="G74"/>
  <c r="O173"/>
  <c r="O154"/>
  <c r="W173"/>
  <c r="G153"/>
  <c r="W94"/>
  <c r="W134"/>
  <c r="G173"/>
  <c r="O133"/>
  <c r="W54"/>
  <c r="O53"/>
  <c r="Q52"/>
  <c r="G113"/>
  <c r="N176" i="1"/>
  <c r="G114" i="2" l="1"/>
  <c r="G174"/>
  <c r="W135"/>
  <c r="W174"/>
  <c r="O174"/>
  <c r="G75"/>
  <c r="G55"/>
  <c r="W154"/>
  <c r="G95"/>
  <c r="O54"/>
  <c r="Q53"/>
  <c r="W55"/>
  <c r="O134"/>
  <c r="W95"/>
  <c r="G154"/>
  <c r="O155"/>
  <c r="O94"/>
  <c r="O75"/>
  <c r="W114"/>
  <c r="G135"/>
  <c r="W74"/>
  <c r="O115"/>
  <c r="N177" i="1"/>
  <c r="O156" i="2" l="1"/>
  <c r="G155"/>
  <c r="W96"/>
  <c r="O135"/>
  <c r="W56"/>
  <c r="O55"/>
  <c r="Q54"/>
  <c r="G96"/>
  <c r="W155"/>
  <c r="G56"/>
  <c r="G76"/>
  <c r="O175"/>
  <c r="W175"/>
  <c r="W136"/>
  <c r="G175"/>
  <c r="O116"/>
  <c r="W75"/>
  <c r="G136"/>
  <c r="W115"/>
  <c r="O76"/>
  <c r="O95"/>
  <c r="G115"/>
  <c r="N178" i="1"/>
  <c r="G116" i="2" l="1"/>
  <c r="O77"/>
  <c r="O117"/>
  <c r="O157"/>
  <c r="O96"/>
  <c r="W116"/>
  <c r="G137"/>
  <c r="W76"/>
  <c r="G176"/>
  <c r="W137"/>
  <c r="W176"/>
  <c r="O176"/>
  <c r="G77"/>
  <c r="G57"/>
  <c r="W156"/>
  <c r="G97"/>
  <c r="O56"/>
  <c r="Q55"/>
  <c r="W57"/>
  <c r="O136"/>
  <c r="W97"/>
  <c r="G156"/>
  <c r="N179" i="1"/>
  <c r="G157" i="2" l="1"/>
  <c r="W58"/>
  <c r="W177"/>
  <c r="G177"/>
  <c r="G138"/>
  <c r="O78"/>
  <c r="W98"/>
  <c r="O137"/>
  <c r="O57"/>
  <c r="Q56"/>
  <c r="G98"/>
  <c r="W157"/>
  <c r="G58"/>
  <c r="G78"/>
  <c r="O177"/>
  <c r="W138"/>
  <c r="W77"/>
  <c r="W117"/>
  <c r="O97"/>
  <c r="O158"/>
  <c r="O118"/>
  <c r="G117"/>
  <c r="N180" i="1"/>
  <c r="O159" i="2" l="1"/>
  <c r="W118"/>
  <c r="O178"/>
  <c r="G79"/>
  <c r="G59"/>
  <c r="G99"/>
  <c r="O58"/>
  <c r="Q57"/>
  <c r="O79"/>
  <c r="W178"/>
  <c r="W59"/>
  <c r="G118"/>
  <c r="O119"/>
  <c r="O98"/>
  <c r="W78"/>
  <c r="W139"/>
  <c r="W158"/>
  <c r="O138"/>
  <c r="W99"/>
  <c r="G139"/>
  <c r="G178"/>
  <c r="G158"/>
  <c r="N181" i="1"/>
  <c r="G159" i="2" l="1"/>
  <c r="G179"/>
  <c r="G140"/>
  <c r="W140"/>
  <c r="W79"/>
  <c r="G60"/>
  <c r="G80"/>
  <c r="O179"/>
  <c r="W119"/>
  <c r="O160"/>
  <c r="W100"/>
  <c r="O139"/>
  <c r="W159"/>
  <c r="O99"/>
  <c r="O120"/>
  <c r="G119"/>
  <c r="W60"/>
  <c r="W179"/>
  <c r="O80"/>
  <c r="O59"/>
  <c r="Q58"/>
  <c r="G100"/>
  <c r="N182" i="1"/>
  <c r="G101" i="2" l="1"/>
  <c r="O60"/>
  <c r="Q59"/>
  <c r="O81"/>
  <c r="W180"/>
  <c r="W61"/>
  <c r="G120"/>
  <c r="O121"/>
  <c r="O100"/>
  <c r="W160"/>
  <c r="O140"/>
  <c r="W101"/>
  <c r="W120"/>
  <c r="O180"/>
  <c r="G81"/>
  <c r="G61"/>
  <c r="W80"/>
  <c r="W141"/>
  <c r="O161"/>
  <c r="G141"/>
  <c r="G180"/>
  <c r="G160"/>
  <c r="N183" i="1"/>
  <c r="G161" i="2" l="1"/>
  <c r="G181"/>
  <c r="G142"/>
  <c r="O162"/>
  <c r="W142"/>
  <c r="W81"/>
  <c r="G62"/>
  <c r="G82"/>
  <c r="O181"/>
  <c r="W121"/>
  <c r="W102"/>
  <c r="O141"/>
  <c r="W161"/>
  <c r="O101"/>
  <c r="O122"/>
  <c r="G121"/>
  <c r="W62"/>
  <c r="W181"/>
  <c r="O82"/>
  <c r="O61"/>
  <c r="Q60"/>
  <c r="G102"/>
  <c r="N184" i="1"/>
  <c r="N185" s="1"/>
  <c r="O163" i="2" l="1"/>
  <c r="G143"/>
  <c r="G182"/>
  <c r="G162"/>
  <c r="G103"/>
  <c r="O62"/>
  <c r="Q61"/>
  <c r="O83"/>
  <c r="W182"/>
  <c r="W63"/>
  <c r="G122"/>
  <c r="O123"/>
  <c r="O102"/>
  <c r="W162"/>
  <c r="O142"/>
  <c r="W103"/>
  <c r="W122"/>
  <c r="O182"/>
  <c r="G83"/>
  <c r="G63"/>
  <c r="W82"/>
  <c r="W143"/>
  <c r="G163" l="1"/>
  <c r="G183"/>
  <c r="G144"/>
  <c r="W144"/>
  <c r="W83"/>
  <c r="G64"/>
  <c r="G84"/>
  <c r="O183"/>
  <c r="W123"/>
  <c r="W104"/>
  <c r="O143"/>
  <c r="W163"/>
  <c r="O103"/>
  <c r="O124"/>
  <c r="G123"/>
  <c r="W64"/>
  <c r="W183"/>
  <c r="O84"/>
  <c r="O63"/>
  <c r="Q62"/>
  <c r="G104"/>
  <c r="O164"/>
  <c r="G145" l="1"/>
  <c r="G184"/>
  <c r="G164"/>
  <c r="O165"/>
  <c r="G105"/>
  <c r="O64"/>
  <c r="Q63"/>
  <c r="O85"/>
  <c r="W184"/>
  <c r="W65"/>
  <c r="G124"/>
  <c r="O125"/>
  <c r="O104"/>
  <c r="W164"/>
  <c r="O144"/>
  <c r="W105"/>
  <c r="W124"/>
  <c r="O184"/>
  <c r="G85"/>
  <c r="G65"/>
  <c r="W84"/>
  <c r="W145"/>
  <c r="O166" l="1"/>
  <c r="G165"/>
  <c r="G185"/>
  <c r="G146"/>
  <c r="W146"/>
  <c r="W85"/>
  <c r="G66"/>
  <c r="G86"/>
  <c r="O185"/>
  <c r="W125"/>
  <c r="W106"/>
  <c r="O145"/>
  <c r="W165"/>
  <c r="O105"/>
  <c r="O126"/>
  <c r="G125"/>
  <c r="W66"/>
  <c r="W185"/>
  <c r="O86"/>
  <c r="O65"/>
  <c r="Q64"/>
  <c r="G106"/>
  <c r="J136" l="1"/>
  <c r="G186"/>
  <c r="G166"/>
  <c r="J96"/>
  <c r="O66"/>
  <c r="Q65"/>
  <c r="R76"/>
  <c r="W186"/>
  <c r="Z56"/>
  <c r="G126"/>
  <c r="R116"/>
  <c r="O106"/>
  <c r="W166"/>
  <c r="O146"/>
  <c r="Z96"/>
  <c r="W126"/>
  <c r="O186"/>
  <c r="J76"/>
  <c r="J56"/>
  <c r="W86"/>
  <c r="Z136"/>
  <c r="R136" l="1"/>
  <c r="Z156"/>
  <c r="R96"/>
  <c r="Z176"/>
  <c r="Z76"/>
  <c r="R176"/>
  <c r="Z116"/>
  <c r="J116"/>
  <c r="Q66"/>
  <c r="R56" s="1"/>
  <c r="J156"/>
  <c r="J176"/>
</calcChain>
</file>

<file path=xl/sharedStrings.xml><?xml version="1.0" encoding="utf-8"?>
<sst xmlns="http://schemas.openxmlformats.org/spreadsheetml/2006/main" count="860" uniqueCount="26">
  <si>
    <t>Compressive Strength Test</t>
  </si>
  <si>
    <t>Compressive Strength for day 7</t>
  </si>
  <si>
    <t>Compressive Strength for day 14</t>
  </si>
  <si>
    <t>Compressive Strength for day 28</t>
  </si>
  <si>
    <t>Sample Type</t>
  </si>
  <si>
    <t>Sample Description</t>
  </si>
  <si>
    <t>Load(KN)</t>
  </si>
  <si>
    <r>
      <rPr>
        <sz val="11"/>
        <color theme="1"/>
        <rFont val="Calibri"/>
        <charset val="134"/>
        <scheme val="minor"/>
      </rPr>
      <t>Strength(N/mm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)</t>
    </r>
  </si>
  <si>
    <r>
      <rPr>
        <sz val="11"/>
        <color theme="1"/>
        <rFont val="Calibri"/>
        <charset val="134"/>
        <scheme val="minor"/>
      </rPr>
      <t>Average Strength (N/mm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)</t>
    </r>
  </si>
  <si>
    <t>X</t>
  </si>
  <si>
    <t>Control</t>
  </si>
  <si>
    <t>0.5% H</t>
  </si>
  <si>
    <t>0.5% S</t>
  </si>
  <si>
    <t>1% H</t>
  </si>
  <si>
    <t>1% S</t>
  </si>
  <si>
    <t>1.5% H</t>
  </si>
  <si>
    <t>1.5% S</t>
  </si>
  <si>
    <t>2.0% H</t>
  </si>
  <si>
    <t>2.0% S</t>
  </si>
  <si>
    <t>Split Tensile Strength Test</t>
  </si>
  <si>
    <t>Split Tensile Strength Test for day 7</t>
  </si>
  <si>
    <t>Split Tensile Strength Test for day 14</t>
  </si>
  <si>
    <t>Split Tensile Strength Test for day 21</t>
  </si>
  <si>
    <t>Split Tensile Strength Test for day 28</t>
  </si>
  <si>
    <t>Y</t>
  </si>
  <si>
    <t>Compressive Strength for day 21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</si>
</sst>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15</xdr:col>
      <xdr:colOff>600075</xdr:colOff>
      <xdr:row>25</xdr:row>
      <xdr:rowOff>9525</xdr:rowOff>
    </xdr:to>
    <xdr:cxnSp macro="">
      <xdr:nvCxnSpPr>
        <xdr:cNvPr id="3" name="Straight Connector 2"/>
        <xdr:cNvCxnSpPr/>
      </xdr:nvCxnSpPr>
      <xdr:spPr>
        <a:xfrm>
          <a:off x="6600825" y="504825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5780</xdr:colOff>
      <xdr:row>45</xdr:row>
      <xdr:rowOff>9525</xdr:rowOff>
    </xdr:to>
    <xdr:cxnSp macro="">
      <xdr:nvCxnSpPr>
        <xdr:cNvPr id="6" name="Straight Connector 5"/>
        <xdr:cNvCxnSpPr/>
      </xdr:nvCxnSpPr>
      <xdr:spPr>
        <a:xfrm>
          <a:off x="6600825" y="9067800"/>
          <a:ext cx="372046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64</xdr:row>
      <xdr:rowOff>176822</xdr:rowOff>
    </xdr:from>
    <xdr:to>
      <xdr:col>16</xdr:col>
      <xdr:colOff>3500</xdr:colOff>
      <xdr:row>64</xdr:row>
      <xdr:rowOff>186347</xdr:rowOff>
    </xdr:to>
    <xdr:cxnSp macro="">
      <xdr:nvCxnSpPr>
        <xdr:cNvPr id="8" name="Straight Connector 7"/>
        <xdr:cNvCxnSpPr/>
      </xdr:nvCxnSpPr>
      <xdr:spPr>
        <a:xfrm>
          <a:off x="6600825" y="13044805"/>
          <a:ext cx="371792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64</xdr:row>
      <xdr:rowOff>176334</xdr:rowOff>
    </xdr:from>
    <xdr:to>
      <xdr:col>16</xdr:col>
      <xdr:colOff>14246</xdr:colOff>
      <xdr:row>64</xdr:row>
      <xdr:rowOff>185859</xdr:rowOff>
    </xdr:to>
    <xdr:cxnSp macro="">
      <xdr:nvCxnSpPr>
        <xdr:cNvPr id="9" name="Straight Connector 8"/>
        <xdr:cNvCxnSpPr/>
      </xdr:nvCxnSpPr>
      <xdr:spPr>
        <a:xfrm>
          <a:off x="6600825" y="13044170"/>
          <a:ext cx="372872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607157</xdr:colOff>
      <xdr:row>84</xdr:row>
      <xdr:rowOff>176334</xdr:rowOff>
    </xdr:from>
    <xdr:to>
      <xdr:col>15</xdr:col>
      <xdr:colOff>604796</xdr:colOff>
      <xdr:row>84</xdr:row>
      <xdr:rowOff>185859</xdr:rowOff>
    </xdr:to>
    <xdr:cxnSp macro="">
      <xdr:nvCxnSpPr>
        <xdr:cNvPr id="10" name="Straight Connector 9"/>
        <xdr:cNvCxnSpPr/>
      </xdr:nvCxnSpPr>
      <xdr:spPr>
        <a:xfrm>
          <a:off x="6600825" y="170446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607157</xdr:colOff>
      <xdr:row>104</xdr:row>
      <xdr:rowOff>176334</xdr:rowOff>
    </xdr:from>
    <xdr:to>
      <xdr:col>15</xdr:col>
      <xdr:colOff>604796</xdr:colOff>
      <xdr:row>104</xdr:row>
      <xdr:rowOff>185859</xdr:rowOff>
    </xdr:to>
    <xdr:cxnSp macro="">
      <xdr:nvCxnSpPr>
        <xdr:cNvPr id="11" name="Straight Connector 10"/>
        <xdr:cNvCxnSpPr/>
      </xdr:nvCxnSpPr>
      <xdr:spPr>
        <a:xfrm>
          <a:off x="6600825" y="210451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124</xdr:row>
      <xdr:rowOff>180816</xdr:rowOff>
    </xdr:from>
    <xdr:to>
      <xdr:col>16</xdr:col>
      <xdr:colOff>10884</xdr:colOff>
      <xdr:row>124</xdr:row>
      <xdr:rowOff>190341</xdr:rowOff>
    </xdr:to>
    <xdr:cxnSp macro="">
      <xdr:nvCxnSpPr>
        <xdr:cNvPr id="12" name="Straight Connector 11"/>
        <xdr:cNvCxnSpPr/>
      </xdr:nvCxnSpPr>
      <xdr:spPr>
        <a:xfrm>
          <a:off x="6600825" y="25050115"/>
          <a:ext cx="37255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602675</xdr:colOff>
      <xdr:row>144</xdr:row>
      <xdr:rowOff>176334</xdr:rowOff>
    </xdr:from>
    <xdr:to>
      <xdr:col>15</xdr:col>
      <xdr:colOff>600314</xdr:colOff>
      <xdr:row>144</xdr:row>
      <xdr:rowOff>185859</xdr:rowOff>
    </xdr:to>
    <xdr:cxnSp macro="">
      <xdr:nvCxnSpPr>
        <xdr:cNvPr id="13" name="Straight Connector 12"/>
        <xdr:cNvCxnSpPr/>
      </xdr:nvCxnSpPr>
      <xdr:spPr>
        <a:xfrm>
          <a:off x="6600825" y="2904617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607081</xdr:colOff>
      <xdr:row>164</xdr:row>
      <xdr:rowOff>182251</xdr:rowOff>
    </xdr:from>
    <xdr:to>
      <xdr:col>15</xdr:col>
      <xdr:colOff>604720</xdr:colOff>
      <xdr:row>164</xdr:row>
      <xdr:rowOff>191776</xdr:rowOff>
    </xdr:to>
    <xdr:cxnSp macro="">
      <xdr:nvCxnSpPr>
        <xdr:cNvPr id="14" name="Straight Connector 13"/>
        <xdr:cNvCxnSpPr/>
      </xdr:nvCxnSpPr>
      <xdr:spPr>
        <a:xfrm>
          <a:off x="6600825" y="33053020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</xdr:colOff>
      <xdr:row>185</xdr:row>
      <xdr:rowOff>2328</xdr:rowOff>
    </xdr:from>
    <xdr:to>
      <xdr:col>16</xdr:col>
      <xdr:colOff>1449</xdr:colOff>
      <xdr:row>185</xdr:row>
      <xdr:rowOff>11853</xdr:rowOff>
    </xdr:to>
    <xdr:cxnSp macro="">
      <xdr:nvCxnSpPr>
        <xdr:cNvPr id="15" name="Straight Connector 14"/>
        <xdr:cNvCxnSpPr/>
      </xdr:nvCxnSpPr>
      <xdr:spPr>
        <a:xfrm>
          <a:off x="6604635" y="37082730"/>
          <a:ext cx="371221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25</xdr:row>
      <xdr:rowOff>0</xdr:rowOff>
    </xdr:from>
    <xdr:to>
      <xdr:col>23</xdr:col>
      <xdr:colOff>600075</xdr:colOff>
      <xdr:row>25</xdr:row>
      <xdr:rowOff>9525</xdr:rowOff>
    </xdr:to>
    <xdr:cxnSp macro="">
      <xdr:nvCxnSpPr>
        <xdr:cNvPr id="2" name="Straight Connector 1"/>
        <xdr:cNvCxnSpPr/>
      </xdr:nvCxnSpPr>
      <xdr:spPr>
        <a:xfrm>
          <a:off x="12115800" y="504825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45</xdr:row>
      <xdr:rowOff>0</xdr:rowOff>
    </xdr:from>
    <xdr:to>
      <xdr:col>24</xdr:col>
      <xdr:colOff>5780</xdr:colOff>
      <xdr:row>45</xdr:row>
      <xdr:rowOff>9525</xdr:rowOff>
    </xdr:to>
    <xdr:cxnSp macro="">
      <xdr:nvCxnSpPr>
        <xdr:cNvPr id="4" name="Straight Connector 3"/>
        <xdr:cNvCxnSpPr/>
      </xdr:nvCxnSpPr>
      <xdr:spPr>
        <a:xfrm>
          <a:off x="12115800" y="9067800"/>
          <a:ext cx="346329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64</xdr:row>
      <xdr:rowOff>176822</xdr:rowOff>
    </xdr:from>
    <xdr:to>
      <xdr:col>24</xdr:col>
      <xdr:colOff>3500</xdr:colOff>
      <xdr:row>64</xdr:row>
      <xdr:rowOff>186347</xdr:rowOff>
    </xdr:to>
    <xdr:cxnSp macro="">
      <xdr:nvCxnSpPr>
        <xdr:cNvPr id="5" name="Straight Connector 4"/>
        <xdr:cNvCxnSpPr/>
      </xdr:nvCxnSpPr>
      <xdr:spPr>
        <a:xfrm>
          <a:off x="12115800" y="13044805"/>
          <a:ext cx="3460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64</xdr:row>
      <xdr:rowOff>176334</xdr:rowOff>
    </xdr:from>
    <xdr:to>
      <xdr:col>24</xdr:col>
      <xdr:colOff>14246</xdr:colOff>
      <xdr:row>64</xdr:row>
      <xdr:rowOff>185859</xdr:rowOff>
    </xdr:to>
    <xdr:cxnSp macro="">
      <xdr:nvCxnSpPr>
        <xdr:cNvPr id="7" name="Straight Connector 6"/>
        <xdr:cNvCxnSpPr/>
      </xdr:nvCxnSpPr>
      <xdr:spPr>
        <a:xfrm>
          <a:off x="12115800" y="13044170"/>
          <a:ext cx="34715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607157</xdr:colOff>
      <xdr:row>84</xdr:row>
      <xdr:rowOff>176334</xdr:rowOff>
    </xdr:from>
    <xdr:to>
      <xdr:col>23</xdr:col>
      <xdr:colOff>604796</xdr:colOff>
      <xdr:row>84</xdr:row>
      <xdr:rowOff>185859</xdr:rowOff>
    </xdr:to>
    <xdr:cxnSp macro="">
      <xdr:nvCxnSpPr>
        <xdr:cNvPr id="16" name="Straight Connector 15"/>
        <xdr:cNvCxnSpPr/>
      </xdr:nvCxnSpPr>
      <xdr:spPr>
        <a:xfrm>
          <a:off x="12115800" y="170446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607157</xdr:colOff>
      <xdr:row>104</xdr:row>
      <xdr:rowOff>176334</xdr:rowOff>
    </xdr:from>
    <xdr:to>
      <xdr:col>23</xdr:col>
      <xdr:colOff>604796</xdr:colOff>
      <xdr:row>104</xdr:row>
      <xdr:rowOff>185859</xdr:rowOff>
    </xdr:to>
    <xdr:cxnSp macro="">
      <xdr:nvCxnSpPr>
        <xdr:cNvPr id="17" name="Straight Connector 16"/>
        <xdr:cNvCxnSpPr/>
      </xdr:nvCxnSpPr>
      <xdr:spPr>
        <a:xfrm>
          <a:off x="12115800" y="210451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124</xdr:row>
      <xdr:rowOff>180816</xdr:rowOff>
    </xdr:from>
    <xdr:to>
      <xdr:col>24</xdr:col>
      <xdr:colOff>10884</xdr:colOff>
      <xdr:row>124</xdr:row>
      <xdr:rowOff>190341</xdr:rowOff>
    </xdr:to>
    <xdr:cxnSp macro="">
      <xdr:nvCxnSpPr>
        <xdr:cNvPr id="18" name="Straight Connector 17"/>
        <xdr:cNvCxnSpPr/>
      </xdr:nvCxnSpPr>
      <xdr:spPr>
        <a:xfrm>
          <a:off x="12115800" y="25050115"/>
          <a:ext cx="346837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602675</xdr:colOff>
      <xdr:row>144</xdr:row>
      <xdr:rowOff>176334</xdr:rowOff>
    </xdr:from>
    <xdr:to>
      <xdr:col>23</xdr:col>
      <xdr:colOff>600314</xdr:colOff>
      <xdr:row>144</xdr:row>
      <xdr:rowOff>185859</xdr:rowOff>
    </xdr:to>
    <xdr:cxnSp macro="">
      <xdr:nvCxnSpPr>
        <xdr:cNvPr id="19" name="Straight Connector 18"/>
        <xdr:cNvCxnSpPr/>
      </xdr:nvCxnSpPr>
      <xdr:spPr>
        <a:xfrm>
          <a:off x="12115800" y="2904617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607081</xdr:colOff>
      <xdr:row>164</xdr:row>
      <xdr:rowOff>182251</xdr:rowOff>
    </xdr:from>
    <xdr:to>
      <xdr:col>23</xdr:col>
      <xdr:colOff>604720</xdr:colOff>
      <xdr:row>164</xdr:row>
      <xdr:rowOff>191776</xdr:rowOff>
    </xdr:to>
    <xdr:cxnSp macro="">
      <xdr:nvCxnSpPr>
        <xdr:cNvPr id="20" name="Straight Connector 19"/>
        <xdr:cNvCxnSpPr/>
      </xdr:nvCxnSpPr>
      <xdr:spPr>
        <a:xfrm>
          <a:off x="12115800" y="33053020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25</xdr:row>
      <xdr:rowOff>0</xdr:rowOff>
    </xdr:from>
    <xdr:to>
      <xdr:col>31</xdr:col>
      <xdr:colOff>600075</xdr:colOff>
      <xdr:row>25</xdr:row>
      <xdr:rowOff>9525</xdr:rowOff>
    </xdr:to>
    <xdr:cxnSp macro="">
      <xdr:nvCxnSpPr>
        <xdr:cNvPr id="21" name="Straight Connector 20"/>
        <xdr:cNvCxnSpPr/>
      </xdr:nvCxnSpPr>
      <xdr:spPr>
        <a:xfrm>
          <a:off x="17373600" y="504825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45</xdr:row>
      <xdr:rowOff>0</xdr:rowOff>
    </xdr:from>
    <xdr:to>
      <xdr:col>32</xdr:col>
      <xdr:colOff>5780</xdr:colOff>
      <xdr:row>45</xdr:row>
      <xdr:rowOff>9525</xdr:rowOff>
    </xdr:to>
    <xdr:cxnSp macro="">
      <xdr:nvCxnSpPr>
        <xdr:cNvPr id="22" name="Straight Connector 21"/>
        <xdr:cNvCxnSpPr/>
      </xdr:nvCxnSpPr>
      <xdr:spPr>
        <a:xfrm>
          <a:off x="17373600" y="9067800"/>
          <a:ext cx="337756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64</xdr:row>
      <xdr:rowOff>176822</xdr:rowOff>
    </xdr:from>
    <xdr:to>
      <xdr:col>32</xdr:col>
      <xdr:colOff>3500</xdr:colOff>
      <xdr:row>64</xdr:row>
      <xdr:rowOff>186347</xdr:rowOff>
    </xdr:to>
    <xdr:cxnSp macro="">
      <xdr:nvCxnSpPr>
        <xdr:cNvPr id="23" name="Straight Connector 22"/>
        <xdr:cNvCxnSpPr/>
      </xdr:nvCxnSpPr>
      <xdr:spPr>
        <a:xfrm>
          <a:off x="17373600" y="13044805"/>
          <a:ext cx="337502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64</xdr:row>
      <xdr:rowOff>176334</xdr:rowOff>
    </xdr:from>
    <xdr:to>
      <xdr:col>32</xdr:col>
      <xdr:colOff>14246</xdr:colOff>
      <xdr:row>64</xdr:row>
      <xdr:rowOff>185859</xdr:rowOff>
    </xdr:to>
    <xdr:cxnSp macro="">
      <xdr:nvCxnSpPr>
        <xdr:cNvPr id="24" name="Straight Connector 23"/>
        <xdr:cNvCxnSpPr/>
      </xdr:nvCxnSpPr>
      <xdr:spPr>
        <a:xfrm>
          <a:off x="17373600" y="13044170"/>
          <a:ext cx="338582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607157</xdr:colOff>
      <xdr:row>84</xdr:row>
      <xdr:rowOff>176334</xdr:rowOff>
    </xdr:from>
    <xdr:to>
      <xdr:col>31</xdr:col>
      <xdr:colOff>604796</xdr:colOff>
      <xdr:row>84</xdr:row>
      <xdr:rowOff>185859</xdr:rowOff>
    </xdr:to>
    <xdr:cxnSp macro="">
      <xdr:nvCxnSpPr>
        <xdr:cNvPr id="25" name="Straight Connector 24"/>
        <xdr:cNvCxnSpPr/>
      </xdr:nvCxnSpPr>
      <xdr:spPr>
        <a:xfrm>
          <a:off x="17373600" y="170446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607157</xdr:colOff>
      <xdr:row>104</xdr:row>
      <xdr:rowOff>176334</xdr:rowOff>
    </xdr:from>
    <xdr:to>
      <xdr:col>31</xdr:col>
      <xdr:colOff>604796</xdr:colOff>
      <xdr:row>104</xdr:row>
      <xdr:rowOff>185859</xdr:rowOff>
    </xdr:to>
    <xdr:cxnSp macro="">
      <xdr:nvCxnSpPr>
        <xdr:cNvPr id="26" name="Straight Connector 25"/>
        <xdr:cNvCxnSpPr/>
      </xdr:nvCxnSpPr>
      <xdr:spPr>
        <a:xfrm>
          <a:off x="17373600" y="210451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124</xdr:row>
      <xdr:rowOff>180816</xdr:rowOff>
    </xdr:from>
    <xdr:to>
      <xdr:col>32</xdr:col>
      <xdr:colOff>10884</xdr:colOff>
      <xdr:row>124</xdr:row>
      <xdr:rowOff>190341</xdr:rowOff>
    </xdr:to>
    <xdr:cxnSp macro="">
      <xdr:nvCxnSpPr>
        <xdr:cNvPr id="27" name="Straight Connector 26"/>
        <xdr:cNvCxnSpPr/>
      </xdr:nvCxnSpPr>
      <xdr:spPr>
        <a:xfrm>
          <a:off x="17373600" y="25050115"/>
          <a:ext cx="33826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602675</xdr:colOff>
      <xdr:row>144</xdr:row>
      <xdr:rowOff>176334</xdr:rowOff>
    </xdr:from>
    <xdr:to>
      <xdr:col>31</xdr:col>
      <xdr:colOff>600314</xdr:colOff>
      <xdr:row>144</xdr:row>
      <xdr:rowOff>185859</xdr:rowOff>
    </xdr:to>
    <xdr:cxnSp macro="">
      <xdr:nvCxnSpPr>
        <xdr:cNvPr id="28" name="Straight Connector 27"/>
        <xdr:cNvCxnSpPr/>
      </xdr:nvCxnSpPr>
      <xdr:spPr>
        <a:xfrm>
          <a:off x="17373600" y="2904617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607081</xdr:colOff>
      <xdr:row>164</xdr:row>
      <xdr:rowOff>182251</xdr:rowOff>
    </xdr:from>
    <xdr:to>
      <xdr:col>31</xdr:col>
      <xdr:colOff>604720</xdr:colOff>
      <xdr:row>164</xdr:row>
      <xdr:rowOff>191776</xdr:rowOff>
    </xdr:to>
    <xdr:cxnSp macro="">
      <xdr:nvCxnSpPr>
        <xdr:cNvPr id="29" name="Straight Connector 28"/>
        <xdr:cNvCxnSpPr/>
      </xdr:nvCxnSpPr>
      <xdr:spPr>
        <a:xfrm>
          <a:off x="17373600" y="33053020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600075</xdr:colOff>
      <xdr:row>25</xdr:row>
      <xdr:rowOff>9525</xdr:rowOff>
    </xdr:to>
    <xdr:cxnSp macro="">
      <xdr:nvCxnSpPr>
        <xdr:cNvPr id="30" name="Straight Connector 29"/>
        <xdr:cNvCxnSpPr/>
      </xdr:nvCxnSpPr>
      <xdr:spPr>
        <a:xfrm>
          <a:off x="22545675" y="5048250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45</xdr:row>
      <xdr:rowOff>0</xdr:rowOff>
    </xdr:from>
    <xdr:to>
      <xdr:col>40</xdr:col>
      <xdr:colOff>5780</xdr:colOff>
      <xdr:row>45</xdr:row>
      <xdr:rowOff>9525</xdr:rowOff>
    </xdr:to>
    <xdr:cxnSp macro="">
      <xdr:nvCxnSpPr>
        <xdr:cNvPr id="31" name="Straight Connector 30"/>
        <xdr:cNvCxnSpPr/>
      </xdr:nvCxnSpPr>
      <xdr:spPr>
        <a:xfrm>
          <a:off x="22545675" y="9067800"/>
          <a:ext cx="300609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64</xdr:row>
      <xdr:rowOff>176822</xdr:rowOff>
    </xdr:from>
    <xdr:to>
      <xdr:col>40</xdr:col>
      <xdr:colOff>3500</xdr:colOff>
      <xdr:row>64</xdr:row>
      <xdr:rowOff>186347</xdr:rowOff>
    </xdr:to>
    <xdr:cxnSp macro="">
      <xdr:nvCxnSpPr>
        <xdr:cNvPr id="32" name="Straight Connector 31"/>
        <xdr:cNvCxnSpPr/>
      </xdr:nvCxnSpPr>
      <xdr:spPr>
        <a:xfrm>
          <a:off x="22545675" y="13044805"/>
          <a:ext cx="30035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64</xdr:row>
      <xdr:rowOff>176334</xdr:rowOff>
    </xdr:from>
    <xdr:to>
      <xdr:col>40</xdr:col>
      <xdr:colOff>14246</xdr:colOff>
      <xdr:row>64</xdr:row>
      <xdr:rowOff>185859</xdr:rowOff>
    </xdr:to>
    <xdr:cxnSp macro="">
      <xdr:nvCxnSpPr>
        <xdr:cNvPr id="33" name="Straight Connector 32"/>
        <xdr:cNvCxnSpPr/>
      </xdr:nvCxnSpPr>
      <xdr:spPr>
        <a:xfrm>
          <a:off x="22545675" y="13044170"/>
          <a:ext cx="301434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607157</xdr:colOff>
      <xdr:row>84</xdr:row>
      <xdr:rowOff>176334</xdr:rowOff>
    </xdr:from>
    <xdr:to>
      <xdr:col>39</xdr:col>
      <xdr:colOff>604796</xdr:colOff>
      <xdr:row>84</xdr:row>
      <xdr:rowOff>185859</xdr:rowOff>
    </xdr:to>
    <xdr:cxnSp macro="">
      <xdr:nvCxnSpPr>
        <xdr:cNvPr id="34" name="Straight Connector 33"/>
        <xdr:cNvCxnSpPr/>
      </xdr:nvCxnSpPr>
      <xdr:spPr>
        <a:xfrm>
          <a:off x="22545675" y="17044670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607157</xdr:colOff>
      <xdr:row>104</xdr:row>
      <xdr:rowOff>176334</xdr:rowOff>
    </xdr:from>
    <xdr:to>
      <xdr:col>39</xdr:col>
      <xdr:colOff>604796</xdr:colOff>
      <xdr:row>104</xdr:row>
      <xdr:rowOff>185859</xdr:rowOff>
    </xdr:to>
    <xdr:cxnSp macro="">
      <xdr:nvCxnSpPr>
        <xdr:cNvPr id="35" name="Straight Connector 34"/>
        <xdr:cNvCxnSpPr/>
      </xdr:nvCxnSpPr>
      <xdr:spPr>
        <a:xfrm>
          <a:off x="22545675" y="21045170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124</xdr:row>
      <xdr:rowOff>180816</xdr:rowOff>
    </xdr:from>
    <xdr:to>
      <xdr:col>40</xdr:col>
      <xdr:colOff>10884</xdr:colOff>
      <xdr:row>124</xdr:row>
      <xdr:rowOff>190341</xdr:rowOff>
    </xdr:to>
    <xdr:cxnSp macro="">
      <xdr:nvCxnSpPr>
        <xdr:cNvPr id="36" name="Straight Connector 35"/>
        <xdr:cNvCxnSpPr/>
      </xdr:nvCxnSpPr>
      <xdr:spPr>
        <a:xfrm>
          <a:off x="22545675" y="25050115"/>
          <a:ext cx="301117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602675</xdr:colOff>
      <xdr:row>144</xdr:row>
      <xdr:rowOff>176334</xdr:rowOff>
    </xdr:from>
    <xdr:to>
      <xdr:col>39</xdr:col>
      <xdr:colOff>600314</xdr:colOff>
      <xdr:row>144</xdr:row>
      <xdr:rowOff>185859</xdr:rowOff>
    </xdr:to>
    <xdr:cxnSp macro="">
      <xdr:nvCxnSpPr>
        <xdr:cNvPr id="37" name="Straight Connector 36"/>
        <xdr:cNvCxnSpPr/>
      </xdr:nvCxnSpPr>
      <xdr:spPr>
        <a:xfrm>
          <a:off x="22545675" y="29046170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607081</xdr:colOff>
      <xdr:row>164</xdr:row>
      <xdr:rowOff>182251</xdr:rowOff>
    </xdr:from>
    <xdr:to>
      <xdr:col>39</xdr:col>
      <xdr:colOff>604720</xdr:colOff>
      <xdr:row>164</xdr:row>
      <xdr:rowOff>191776</xdr:rowOff>
    </xdr:to>
    <xdr:cxnSp macro="">
      <xdr:nvCxnSpPr>
        <xdr:cNvPr id="38" name="Straight Connector 37"/>
        <xdr:cNvCxnSpPr/>
      </xdr:nvCxnSpPr>
      <xdr:spPr>
        <a:xfrm>
          <a:off x="22545675" y="33053020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9</xdr:col>
      <xdr:colOff>600075</xdr:colOff>
      <xdr:row>26</xdr:row>
      <xdr:rowOff>9525</xdr:rowOff>
    </xdr:to>
    <xdr:cxnSp macro="">
      <xdr:nvCxnSpPr>
        <xdr:cNvPr id="2" name="Straight Connector 1"/>
        <xdr:cNvCxnSpPr/>
      </xdr:nvCxnSpPr>
      <xdr:spPr>
        <a:xfrm>
          <a:off x="6600825" y="5019675"/>
          <a:ext cx="37147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5780</xdr:colOff>
      <xdr:row>46</xdr:row>
      <xdr:rowOff>9525</xdr:rowOff>
    </xdr:to>
    <xdr:cxnSp macro="">
      <xdr:nvCxnSpPr>
        <xdr:cNvPr id="3" name="Straight Connector 2"/>
        <xdr:cNvCxnSpPr/>
      </xdr:nvCxnSpPr>
      <xdr:spPr>
        <a:xfrm>
          <a:off x="6600825" y="9020175"/>
          <a:ext cx="372053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176822</xdr:rowOff>
    </xdr:from>
    <xdr:to>
      <xdr:col>10</xdr:col>
      <xdr:colOff>3500</xdr:colOff>
      <xdr:row>65</xdr:row>
      <xdr:rowOff>186347</xdr:rowOff>
    </xdr:to>
    <xdr:cxnSp macro="">
      <xdr:nvCxnSpPr>
        <xdr:cNvPr id="4" name="Straight Connector 3"/>
        <xdr:cNvCxnSpPr/>
      </xdr:nvCxnSpPr>
      <xdr:spPr>
        <a:xfrm>
          <a:off x="6600825" y="12997472"/>
          <a:ext cx="37182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176334</xdr:rowOff>
    </xdr:from>
    <xdr:to>
      <xdr:col>10</xdr:col>
      <xdr:colOff>14246</xdr:colOff>
      <xdr:row>65</xdr:row>
      <xdr:rowOff>185859</xdr:rowOff>
    </xdr:to>
    <xdr:cxnSp macro="">
      <xdr:nvCxnSpPr>
        <xdr:cNvPr id="5" name="Straight Connector 4"/>
        <xdr:cNvCxnSpPr/>
      </xdr:nvCxnSpPr>
      <xdr:spPr>
        <a:xfrm>
          <a:off x="6600825" y="12996984"/>
          <a:ext cx="37289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607157</xdr:colOff>
      <xdr:row>85</xdr:row>
      <xdr:rowOff>176334</xdr:rowOff>
    </xdr:from>
    <xdr:to>
      <xdr:col>9</xdr:col>
      <xdr:colOff>604796</xdr:colOff>
      <xdr:row>85</xdr:row>
      <xdr:rowOff>185859</xdr:rowOff>
    </xdr:to>
    <xdr:cxnSp macro="">
      <xdr:nvCxnSpPr>
        <xdr:cNvPr id="6" name="Straight Connector 5"/>
        <xdr:cNvCxnSpPr/>
      </xdr:nvCxnSpPr>
      <xdr:spPr>
        <a:xfrm>
          <a:off x="6598382" y="16997484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607157</xdr:colOff>
      <xdr:row>105</xdr:row>
      <xdr:rowOff>176334</xdr:rowOff>
    </xdr:from>
    <xdr:to>
      <xdr:col>9</xdr:col>
      <xdr:colOff>604796</xdr:colOff>
      <xdr:row>105</xdr:row>
      <xdr:rowOff>185859</xdr:rowOff>
    </xdr:to>
    <xdr:cxnSp macro="">
      <xdr:nvCxnSpPr>
        <xdr:cNvPr id="7" name="Straight Connector 6"/>
        <xdr:cNvCxnSpPr/>
      </xdr:nvCxnSpPr>
      <xdr:spPr>
        <a:xfrm>
          <a:off x="6598382" y="20997984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125</xdr:row>
      <xdr:rowOff>180816</xdr:rowOff>
    </xdr:from>
    <xdr:to>
      <xdr:col>10</xdr:col>
      <xdr:colOff>10884</xdr:colOff>
      <xdr:row>125</xdr:row>
      <xdr:rowOff>190341</xdr:rowOff>
    </xdr:to>
    <xdr:cxnSp macro="">
      <xdr:nvCxnSpPr>
        <xdr:cNvPr id="8" name="Straight Connector 7"/>
        <xdr:cNvCxnSpPr/>
      </xdr:nvCxnSpPr>
      <xdr:spPr>
        <a:xfrm>
          <a:off x="6600825" y="25002966"/>
          <a:ext cx="372563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602675</xdr:colOff>
      <xdr:row>145</xdr:row>
      <xdr:rowOff>176334</xdr:rowOff>
    </xdr:from>
    <xdr:to>
      <xdr:col>9</xdr:col>
      <xdr:colOff>600314</xdr:colOff>
      <xdr:row>145</xdr:row>
      <xdr:rowOff>185859</xdr:rowOff>
    </xdr:to>
    <xdr:cxnSp macro="">
      <xdr:nvCxnSpPr>
        <xdr:cNvPr id="9" name="Straight Connector 8"/>
        <xdr:cNvCxnSpPr/>
      </xdr:nvCxnSpPr>
      <xdr:spPr>
        <a:xfrm>
          <a:off x="6603425" y="28998984"/>
          <a:ext cx="37123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607081</xdr:colOff>
      <xdr:row>165</xdr:row>
      <xdr:rowOff>182251</xdr:rowOff>
    </xdr:from>
    <xdr:to>
      <xdr:col>9</xdr:col>
      <xdr:colOff>604720</xdr:colOff>
      <xdr:row>165</xdr:row>
      <xdr:rowOff>191776</xdr:rowOff>
    </xdr:to>
    <xdr:cxnSp macro="">
      <xdr:nvCxnSpPr>
        <xdr:cNvPr id="10" name="Straight Connector 9"/>
        <xdr:cNvCxnSpPr/>
      </xdr:nvCxnSpPr>
      <xdr:spPr>
        <a:xfrm>
          <a:off x="6598306" y="33005401"/>
          <a:ext cx="37219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</xdr:colOff>
      <xdr:row>186</xdr:row>
      <xdr:rowOff>2328</xdr:rowOff>
    </xdr:from>
    <xdr:to>
      <xdr:col>10</xdr:col>
      <xdr:colOff>1449</xdr:colOff>
      <xdr:row>186</xdr:row>
      <xdr:rowOff>11853</xdr:rowOff>
    </xdr:to>
    <xdr:cxnSp macro="">
      <xdr:nvCxnSpPr>
        <xdr:cNvPr id="11" name="Straight Connector 10"/>
        <xdr:cNvCxnSpPr/>
      </xdr:nvCxnSpPr>
      <xdr:spPr>
        <a:xfrm>
          <a:off x="6604635" y="37026003"/>
          <a:ext cx="37123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0</xdr:rowOff>
    </xdr:from>
    <xdr:to>
      <xdr:col>17</xdr:col>
      <xdr:colOff>600075</xdr:colOff>
      <xdr:row>26</xdr:row>
      <xdr:rowOff>9525</xdr:rowOff>
    </xdr:to>
    <xdr:cxnSp macro="">
      <xdr:nvCxnSpPr>
        <xdr:cNvPr id="12" name="Straight Connector 11"/>
        <xdr:cNvCxnSpPr/>
      </xdr:nvCxnSpPr>
      <xdr:spPr>
        <a:xfrm>
          <a:off x="12115800" y="5019675"/>
          <a:ext cx="34575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46</xdr:row>
      <xdr:rowOff>0</xdr:rowOff>
    </xdr:from>
    <xdr:to>
      <xdr:col>18</xdr:col>
      <xdr:colOff>5780</xdr:colOff>
      <xdr:row>46</xdr:row>
      <xdr:rowOff>9525</xdr:rowOff>
    </xdr:to>
    <xdr:cxnSp macro="">
      <xdr:nvCxnSpPr>
        <xdr:cNvPr id="13" name="Straight Connector 12"/>
        <xdr:cNvCxnSpPr/>
      </xdr:nvCxnSpPr>
      <xdr:spPr>
        <a:xfrm>
          <a:off x="12115800" y="9020175"/>
          <a:ext cx="346335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65</xdr:row>
      <xdr:rowOff>176822</xdr:rowOff>
    </xdr:from>
    <xdr:to>
      <xdr:col>18</xdr:col>
      <xdr:colOff>3500</xdr:colOff>
      <xdr:row>65</xdr:row>
      <xdr:rowOff>186347</xdr:rowOff>
    </xdr:to>
    <xdr:cxnSp macro="">
      <xdr:nvCxnSpPr>
        <xdr:cNvPr id="14" name="Straight Connector 13"/>
        <xdr:cNvCxnSpPr/>
      </xdr:nvCxnSpPr>
      <xdr:spPr>
        <a:xfrm>
          <a:off x="12115800" y="12997472"/>
          <a:ext cx="34610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65</xdr:row>
      <xdr:rowOff>176334</xdr:rowOff>
    </xdr:from>
    <xdr:to>
      <xdr:col>18</xdr:col>
      <xdr:colOff>14246</xdr:colOff>
      <xdr:row>65</xdr:row>
      <xdr:rowOff>185859</xdr:rowOff>
    </xdr:to>
    <xdr:cxnSp macro="">
      <xdr:nvCxnSpPr>
        <xdr:cNvPr id="15" name="Straight Connector 14"/>
        <xdr:cNvCxnSpPr/>
      </xdr:nvCxnSpPr>
      <xdr:spPr>
        <a:xfrm>
          <a:off x="12115800" y="12996984"/>
          <a:ext cx="3471821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607157</xdr:colOff>
      <xdr:row>85</xdr:row>
      <xdr:rowOff>176334</xdr:rowOff>
    </xdr:from>
    <xdr:to>
      <xdr:col>17</xdr:col>
      <xdr:colOff>604796</xdr:colOff>
      <xdr:row>85</xdr:row>
      <xdr:rowOff>185859</xdr:rowOff>
    </xdr:to>
    <xdr:cxnSp macro="">
      <xdr:nvCxnSpPr>
        <xdr:cNvPr id="16" name="Straight Connector 15"/>
        <xdr:cNvCxnSpPr/>
      </xdr:nvCxnSpPr>
      <xdr:spPr>
        <a:xfrm>
          <a:off x="12113357" y="16997484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607157</xdr:colOff>
      <xdr:row>105</xdr:row>
      <xdr:rowOff>176334</xdr:rowOff>
    </xdr:from>
    <xdr:to>
      <xdr:col>17</xdr:col>
      <xdr:colOff>604796</xdr:colOff>
      <xdr:row>105</xdr:row>
      <xdr:rowOff>185859</xdr:rowOff>
    </xdr:to>
    <xdr:cxnSp macro="">
      <xdr:nvCxnSpPr>
        <xdr:cNvPr id="17" name="Straight Connector 16"/>
        <xdr:cNvCxnSpPr/>
      </xdr:nvCxnSpPr>
      <xdr:spPr>
        <a:xfrm>
          <a:off x="12113357" y="20997984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125</xdr:row>
      <xdr:rowOff>180816</xdr:rowOff>
    </xdr:from>
    <xdr:to>
      <xdr:col>18</xdr:col>
      <xdr:colOff>10884</xdr:colOff>
      <xdr:row>125</xdr:row>
      <xdr:rowOff>190341</xdr:rowOff>
    </xdr:to>
    <xdr:cxnSp macro="">
      <xdr:nvCxnSpPr>
        <xdr:cNvPr id="18" name="Straight Connector 17"/>
        <xdr:cNvCxnSpPr/>
      </xdr:nvCxnSpPr>
      <xdr:spPr>
        <a:xfrm>
          <a:off x="12115800" y="25002966"/>
          <a:ext cx="346845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602675</xdr:colOff>
      <xdr:row>145</xdr:row>
      <xdr:rowOff>176334</xdr:rowOff>
    </xdr:from>
    <xdr:to>
      <xdr:col>17</xdr:col>
      <xdr:colOff>600314</xdr:colOff>
      <xdr:row>145</xdr:row>
      <xdr:rowOff>185859</xdr:rowOff>
    </xdr:to>
    <xdr:cxnSp macro="">
      <xdr:nvCxnSpPr>
        <xdr:cNvPr id="19" name="Straight Connector 18"/>
        <xdr:cNvCxnSpPr/>
      </xdr:nvCxnSpPr>
      <xdr:spPr>
        <a:xfrm>
          <a:off x="12118400" y="28998984"/>
          <a:ext cx="34552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607081</xdr:colOff>
      <xdr:row>165</xdr:row>
      <xdr:rowOff>182251</xdr:rowOff>
    </xdr:from>
    <xdr:to>
      <xdr:col>17</xdr:col>
      <xdr:colOff>604720</xdr:colOff>
      <xdr:row>165</xdr:row>
      <xdr:rowOff>191776</xdr:rowOff>
    </xdr:to>
    <xdr:cxnSp macro="">
      <xdr:nvCxnSpPr>
        <xdr:cNvPr id="20" name="Straight Connector 19"/>
        <xdr:cNvCxnSpPr/>
      </xdr:nvCxnSpPr>
      <xdr:spPr>
        <a:xfrm>
          <a:off x="12113281" y="33005401"/>
          <a:ext cx="34647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0</xdr:rowOff>
    </xdr:from>
    <xdr:to>
      <xdr:col>25</xdr:col>
      <xdr:colOff>600075</xdr:colOff>
      <xdr:row>26</xdr:row>
      <xdr:rowOff>9525</xdr:rowOff>
    </xdr:to>
    <xdr:cxnSp macro="">
      <xdr:nvCxnSpPr>
        <xdr:cNvPr id="21" name="Straight Connector 20"/>
        <xdr:cNvCxnSpPr/>
      </xdr:nvCxnSpPr>
      <xdr:spPr>
        <a:xfrm>
          <a:off x="17373600" y="5019675"/>
          <a:ext cx="33718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5780</xdr:colOff>
      <xdr:row>46</xdr:row>
      <xdr:rowOff>9525</xdr:rowOff>
    </xdr:to>
    <xdr:cxnSp macro="">
      <xdr:nvCxnSpPr>
        <xdr:cNvPr id="22" name="Straight Connector 21"/>
        <xdr:cNvCxnSpPr/>
      </xdr:nvCxnSpPr>
      <xdr:spPr>
        <a:xfrm>
          <a:off x="17373600" y="9020175"/>
          <a:ext cx="337763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176822</xdr:rowOff>
    </xdr:from>
    <xdr:to>
      <xdr:col>26</xdr:col>
      <xdr:colOff>3500</xdr:colOff>
      <xdr:row>65</xdr:row>
      <xdr:rowOff>186347</xdr:rowOff>
    </xdr:to>
    <xdr:cxnSp macro="">
      <xdr:nvCxnSpPr>
        <xdr:cNvPr id="23" name="Straight Connector 22"/>
        <xdr:cNvCxnSpPr/>
      </xdr:nvCxnSpPr>
      <xdr:spPr>
        <a:xfrm>
          <a:off x="17373600" y="12997472"/>
          <a:ext cx="337535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176334</xdr:rowOff>
    </xdr:from>
    <xdr:to>
      <xdr:col>26</xdr:col>
      <xdr:colOff>14246</xdr:colOff>
      <xdr:row>65</xdr:row>
      <xdr:rowOff>185859</xdr:rowOff>
    </xdr:to>
    <xdr:cxnSp macro="">
      <xdr:nvCxnSpPr>
        <xdr:cNvPr id="24" name="Straight Connector 23"/>
        <xdr:cNvCxnSpPr/>
      </xdr:nvCxnSpPr>
      <xdr:spPr>
        <a:xfrm>
          <a:off x="17373600" y="12996984"/>
          <a:ext cx="3386096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607157</xdr:colOff>
      <xdr:row>85</xdr:row>
      <xdr:rowOff>176334</xdr:rowOff>
    </xdr:from>
    <xdr:to>
      <xdr:col>25</xdr:col>
      <xdr:colOff>604796</xdr:colOff>
      <xdr:row>85</xdr:row>
      <xdr:rowOff>185859</xdr:rowOff>
    </xdr:to>
    <xdr:cxnSp macro="">
      <xdr:nvCxnSpPr>
        <xdr:cNvPr id="25" name="Straight Connector 24"/>
        <xdr:cNvCxnSpPr/>
      </xdr:nvCxnSpPr>
      <xdr:spPr>
        <a:xfrm>
          <a:off x="17371157" y="16997484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607157</xdr:colOff>
      <xdr:row>105</xdr:row>
      <xdr:rowOff>176334</xdr:rowOff>
    </xdr:from>
    <xdr:to>
      <xdr:col>25</xdr:col>
      <xdr:colOff>604796</xdr:colOff>
      <xdr:row>105</xdr:row>
      <xdr:rowOff>185859</xdr:rowOff>
    </xdr:to>
    <xdr:cxnSp macro="">
      <xdr:nvCxnSpPr>
        <xdr:cNvPr id="26" name="Straight Connector 25"/>
        <xdr:cNvCxnSpPr/>
      </xdr:nvCxnSpPr>
      <xdr:spPr>
        <a:xfrm>
          <a:off x="17371157" y="20997984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125</xdr:row>
      <xdr:rowOff>180816</xdr:rowOff>
    </xdr:from>
    <xdr:to>
      <xdr:col>26</xdr:col>
      <xdr:colOff>10884</xdr:colOff>
      <xdr:row>125</xdr:row>
      <xdr:rowOff>190341</xdr:rowOff>
    </xdr:to>
    <xdr:cxnSp macro="">
      <xdr:nvCxnSpPr>
        <xdr:cNvPr id="27" name="Straight Connector 26"/>
        <xdr:cNvCxnSpPr/>
      </xdr:nvCxnSpPr>
      <xdr:spPr>
        <a:xfrm>
          <a:off x="17373600" y="25002966"/>
          <a:ext cx="338273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602675</xdr:colOff>
      <xdr:row>145</xdr:row>
      <xdr:rowOff>176334</xdr:rowOff>
    </xdr:from>
    <xdr:to>
      <xdr:col>25</xdr:col>
      <xdr:colOff>600314</xdr:colOff>
      <xdr:row>145</xdr:row>
      <xdr:rowOff>185859</xdr:rowOff>
    </xdr:to>
    <xdr:cxnSp macro="">
      <xdr:nvCxnSpPr>
        <xdr:cNvPr id="28" name="Straight Connector 27"/>
        <xdr:cNvCxnSpPr/>
      </xdr:nvCxnSpPr>
      <xdr:spPr>
        <a:xfrm>
          <a:off x="17376200" y="28998984"/>
          <a:ext cx="336948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607081</xdr:colOff>
      <xdr:row>165</xdr:row>
      <xdr:rowOff>182251</xdr:rowOff>
    </xdr:from>
    <xdr:to>
      <xdr:col>25</xdr:col>
      <xdr:colOff>604720</xdr:colOff>
      <xdr:row>165</xdr:row>
      <xdr:rowOff>191776</xdr:rowOff>
    </xdr:to>
    <xdr:cxnSp macro="">
      <xdr:nvCxnSpPr>
        <xdr:cNvPr id="29" name="Straight Connector 28"/>
        <xdr:cNvCxnSpPr/>
      </xdr:nvCxnSpPr>
      <xdr:spPr>
        <a:xfrm>
          <a:off x="17371081" y="33005401"/>
          <a:ext cx="3379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26</xdr:row>
      <xdr:rowOff>0</xdr:rowOff>
    </xdr:from>
    <xdr:to>
      <xdr:col>33</xdr:col>
      <xdr:colOff>600075</xdr:colOff>
      <xdr:row>26</xdr:row>
      <xdr:rowOff>9525</xdr:rowOff>
    </xdr:to>
    <xdr:cxnSp macro="">
      <xdr:nvCxnSpPr>
        <xdr:cNvPr id="30" name="Straight Connector 29"/>
        <xdr:cNvCxnSpPr/>
      </xdr:nvCxnSpPr>
      <xdr:spPr>
        <a:xfrm>
          <a:off x="22545675" y="5019675"/>
          <a:ext cx="30003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46</xdr:row>
      <xdr:rowOff>0</xdr:rowOff>
    </xdr:from>
    <xdr:to>
      <xdr:col>34</xdr:col>
      <xdr:colOff>5780</xdr:colOff>
      <xdr:row>46</xdr:row>
      <xdr:rowOff>9525</xdr:rowOff>
    </xdr:to>
    <xdr:cxnSp macro="">
      <xdr:nvCxnSpPr>
        <xdr:cNvPr id="31" name="Straight Connector 30"/>
        <xdr:cNvCxnSpPr/>
      </xdr:nvCxnSpPr>
      <xdr:spPr>
        <a:xfrm>
          <a:off x="22545675" y="9020175"/>
          <a:ext cx="300615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65</xdr:row>
      <xdr:rowOff>176822</xdr:rowOff>
    </xdr:from>
    <xdr:to>
      <xdr:col>34</xdr:col>
      <xdr:colOff>3500</xdr:colOff>
      <xdr:row>65</xdr:row>
      <xdr:rowOff>186347</xdr:rowOff>
    </xdr:to>
    <xdr:cxnSp macro="">
      <xdr:nvCxnSpPr>
        <xdr:cNvPr id="32" name="Straight Connector 31"/>
        <xdr:cNvCxnSpPr/>
      </xdr:nvCxnSpPr>
      <xdr:spPr>
        <a:xfrm>
          <a:off x="22545675" y="12997472"/>
          <a:ext cx="30038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65</xdr:row>
      <xdr:rowOff>176334</xdr:rowOff>
    </xdr:from>
    <xdr:to>
      <xdr:col>34</xdr:col>
      <xdr:colOff>14246</xdr:colOff>
      <xdr:row>65</xdr:row>
      <xdr:rowOff>185859</xdr:rowOff>
    </xdr:to>
    <xdr:cxnSp macro="">
      <xdr:nvCxnSpPr>
        <xdr:cNvPr id="33" name="Straight Connector 32"/>
        <xdr:cNvCxnSpPr/>
      </xdr:nvCxnSpPr>
      <xdr:spPr>
        <a:xfrm>
          <a:off x="22545675" y="12996984"/>
          <a:ext cx="3014621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607157</xdr:colOff>
      <xdr:row>85</xdr:row>
      <xdr:rowOff>176334</xdr:rowOff>
    </xdr:from>
    <xdr:to>
      <xdr:col>33</xdr:col>
      <xdr:colOff>604796</xdr:colOff>
      <xdr:row>85</xdr:row>
      <xdr:rowOff>185859</xdr:rowOff>
    </xdr:to>
    <xdr:cxnSp macro="">
      <xdr:nvCxnSpPr>
        <xdr:cNvPr id="34" name="Straight Connector 33"/>
        <xdr:cNvCxnSpPr/>
      </xdr:nvCxnSpPr>
      <xdr:spPr>
        <a:xfrm>
          <a:off x="22543232" y="16997484"/>
          <a:ext cx="30075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607157</xdr:colOff>
      <xdr:row>105</xdr:row>
      <xdr:rowOff>176334</xdr:rowOff>
    </xdr:from>
    <xdr:to>
      <xdr:col>33</xdr:col>
      <xdr:colOff>604796</xdr:colOff>
      <xdr:row>105</xdr:row>
      <xdr:rowOff>185859</xdr:rowOff>
    </xdr:to>
    <xdr:cxnSp macro="">
      <xdr:nvCxnSpPr>
        <xdr:cNvPr id="35" name="Straight Connector 34"/>
        <xdr:cNvCxnSpPr/>
      </xdr:nvCxnSpPr>
      <xdr:spPr>
        <a:xfrm>
          <a:off x="22543232" y="20997984"/>
          <a:ext cx="30075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125</xdr:row>
      <xdr:rowOff>180816</xdr:rowOff>
    </xdr:from>
    <xdr:to>
      <xdr:col>34</xdr:col>
      <xdr:colOff>10884</xdr:colOff>
      <xdr:row>125</xdr:row>
      <xdr:rowOff>190341</xdr:rowOff>
    </xdr:to>
    <xdr:cxnSp macro="">
      <xdr:nvCxnSpPr>
        <xdr:cNvPr id="36" name="Straight Connector 35"/>
        <xdr:cNvCxnSpPr/>
      </xdr:nvCxnSpPr>
      <xdr:spPr>
        <a:xfrm>
          <a:off x="22545675" y="25002966"/>
          <a:ext cx="301125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602675</xdr:colOff>
      <xdr:row>145</xdr:row>
      <xdr:rowOff>176334</xdr:rowOff>
    </xdr:from>
    <xdr:to>
      <xdr:col>33</xdr:col>
      <xdr:colOff>600314</xdr:colOff>
      <xdr:row>145</xdr:row>
      <xdr:rowOff>185859</xdr:rowOff>
    </xdr:to>
    <xdr:cxnSp macro="">
      <xdr:nvCxnSpPr>
        <xdr:cNvPr id="37" name="Straight Connector 36"/>
        <xdr:cNvCxnSpPr/>
      </xdr:nvCxnSpPr>
      <xdr:spPr>
        <a:xfrm>
          <a:off x="22548275" y="28998984"/>
          <a:ext cx="2998014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607081</xdr:colOff>
      <xdr:row>165</xdr:row>
      <xdr:rowOff>182251</xdr:rowOff>
    </xdr:from>
    <xdr:to>
      <xdr:col>33</xdr:col>
      <xdr:colOff>604720</xdr:colOff>
      <xdr:row>165</xdr:row>
      <xdr:rowOff>191776</xdr:rowOff>
    </xdr:to>
    <xdr:cxnSp macro="">
      <xdr:nvCxnSpPr>
        <xdr:cNvPr id="38" name="Straight Connector 37"/>
        <xdr:cNvCxnSpPr/>
      </xdr:nvCxnSpPr>
      <xdr:spPr>
        <a:xfrm>
          <a:off x="22543156" y="33005401"/>
          <a:ext cx="3007539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L5:P185" totalsRowShown="0">
  <autoFilter ref="L5:P185"/>
  <tableColumns count="5">
    <tableColumn id="1" name="Sample Type"/>
    <tableColumn id="2" name="Sample Description" dataDxfId="1">
      <calculatedColumnFormula>M5+1</calculatedColumnFormula>
    </tableColumn>
    <tableColumn id="3" name="Load(KN)">
      <calculatedColumnFormula>(((M6-M5)*(N4-N5))/(M4-M5))+N5</calculatedColumnFormula>
    </tableColumn>
    <tableColumn id="4" name="Strength(N/mm2)">
      <calculatedColumnFormula>((N6*1000)/(150*150))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T5:X185" totalsRowShown="0">
  <autoFilter ref="T5:X185"/>
  <tableColumns count="5">
    <tableColumn id="1" name="Sample Type"/>
    <tableColumn id="2" name="Sample Description">
      <calculatedColumnFormula>U5+1</calculatedColumnFormula>
    </tableColumn>
    <tableColumn id="3" name="Load(KN)">
      <calculatedColumnFormula>(((U6-U5)*(V4-V5))/(U4-U5))+V5</calculatedColumnFormula>
    </tableColumn>
    <tableColumn id="4" name="Strength(N/mm2)">
      <calculatedColumnFormula>((V6*1000)/(150*150))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_34" displayName="Table1_34" ref="AB5:AF185" totalsRowShown="0">
  <autoFilter ref="AB5:AF185"/>
  <tableColumns count="5">
    <tableColumn id="1" name="Sample Type"/>
    <tableColumn id="2" name="Sample Description">
      <calculatedColumnFormula>AC5+1</calculatedColumnFormula>
    </tableColumn>
    <tableColumn id="3" name="Load(KN)">
      <calculatedColumnFormula>(((AC6-AC5)*(AD4-AD5))/(AC4-AC5)+AD5)</calculatedColumnFormula>
    </tableColumn>
    <tableColumn id="4" name="Strength(N/mm2)">
      <calculatedColumnFormula>((AD6*1000)/(150*150))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_345" displayName="Table1_345" ref="AJ5:AN185" totalsRowShown="0">
  <autoFilter ref="AJ5:AN185"/>
  <tableColumns count="5">
    <tableColumn id="1" name="Sample Type"/>
    <tableColumn id="2" name="Sample Description">
      <calculatedColumnFormula>AK5+1</calculatedColumnFormula>
    </tableColumn>
    <tableColumn id="3" name="Load(KN)"/>
    <tableColumn id="4" name="Strength(N/mm2)"/>
    <tableColumn id="5" name="Average Strength (N/mm2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F6:J186" totalsRowShown="0">
  <autoFilter ref="F6:J186"/>
  <tableColumns count="5">
    <tableColumn id="1" name="Sample Type"/>
    <tableColumn id="2" name="Sample Description" dataDxfId="0">
      <calculatedColumnFormula>G6+1</calculatedColumnFormula>
    </tableColumn>
    <tableColumn id="3" name="Load(KN)">
      <calculatedColumnFormula>(((G7-G6)*(H5-H6))/(G5-G6))+H6</calculatedColumnFormula>
    </tableColumn>
    <tableColumn id="4" name="Strength(N/mm2)">
      <calculatedColumnFormula>((H7*1000)/(150*150))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_37" displayName="Table1_37" ref="N6:R186" totalsRowShown="0">
  <autoFilter ref="N6:R186"/>
  <tableColumns count="5">
    <tableColumn id="1" name="Sample Type"/>
    <tableColumn id="2" name="Sample Description">
      <calculatedColumnFormula>O6+1</calculatedColumnFormula>
    </tableColumn>
    <tableColumn id="3" name="Load(KN)">
      <calculatedColumnFormula>(((O7-O6)*(P5-P6))/(O5-O6))+P6</calculatedColumnFormula>
    </tableColumn>
    <tableColumn id="4" name="Strength(N/mm2)">
      <calculatedColumnFormula>((P7*1000)/(150*150))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_348" displayName="Table1_348" ref="V6:Z186" totalsRowShown="0">
  <autoFilter ref="V6:Z186"/>
  <tableColumns count="5">
    <tableColumn id="1" name="Sample Type"/>
    <tableColumn id="2" name="Sample Description">
      <calculatedColumnFormula>W6+1</calculatedColumnFormula>
    </tableColumn>
    <tableColumn id="3" name="Load(KN)">
      <calculatedColumnFormula>(((W7-W6)*(X5-X6))/(W5-W6)+X6)</calculatedColumnFormula>
    </tableColumn>
    <tableColumn id="4" name="Strength(N/mm2)">
      <calculatedColumnFormula>((X7*1000)/(150*150))</calculatedColumnFormula>
    </tableColumn>
    <tableColumn id="5" name="Average Strength (N/mm2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_3459" displayName="Table1_3459" ref="AD6:AH186" totalsRowShown="0">
  <autoFilter ref="AD6:AH186"/>
  <tableColumns count="5">
    <tableColumn id="1" name="Sample Type"/>
    <tableColumn id="2" name="Sample Description">
      <calculatedColumnFormula>AE6+1</calculatedColumnFormula>
    </tableColumn>
    <tableColumn id="3" name="Load(KN)"/>
    <tableColumn id="4" name="Strength(N/mm2)"/>
    <tableColumn id="5" name="Average Strength (N/mm2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85"/>
  <sheetViews>
    <sheetView tabSelected="1" topLeftCell="V1" workbookViewId="0">
      <selection activeCell="AB3" sqref="AB3"/>
    </sheetView>
  </sheetViews>
  <sheetFormatPr defaultColWidth="9" defaultRowHeight="15"/>
  <cols>
    <col min="12" max="12" width="12.85546875" customWidth="1"/>
    <col min="15" max="15" width="15.85546875"/>
    <col min="23" max="23" width="15.85546875"/>
    <col min="31" max="31" width="14.5703125"/>
  </cols>
  <sheetData>
    <row r="1" spans="1:50">
      <c r="A1" s="1" t="s">
        <v>0</v>
      </c>
    </row>
    <row r="2" spans="1:50" ht="15" customHeight="1"/>
    <row r="3" spans="1:50">
      <c r="L3" t="s">
        <v>1</v>
      </c>
      <c r="T3" t="s">
        <v>2</v>
      </c>
      <c r="AB3" s="18" t="s">
        <v>25</v>
      </c>
      <c r="AJ3" t="s">
        <v>3</v>
      </c>
    </row>
    <row r="5" spans="1:50" ht="18" customHeight="1">
      <c r="E5" s="2"/>
      <c r="F5" s="2"/>
      <c r="G5" s="2"/>
      <c r="H5" s="2"/>
      <c r="I5" s="2"/>
      <c r="L5" t="s">
        <v>4</v>
      </c>
      <c r="M5" t="s">
        <v>5</v>
      </c>
      <c r="N5" t="s">
        <v>6</v>
      </c>
      <c r="O5" t="s">
        <v>7</v>
      </c>
      <c r="P5" t="s">
        <v>8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AB5" t="s">
        <v>4</v>
      </c>
      <c r="AC5" t="s">
        <v>5</v>
      </c>
      <c r="AD5" t="s">
        <v>6</v>
      </c>
      <c r="AE5" t="s">
        <v>7</v>
      </c>
      <c r="AF5" t="s">
        <v>8</v>
      </c>
      <c r="AJ5" t="s">
        <v>4</v>
      </c>
      <c r="AK5" t="s">
        <v>5</v>
      </c>
      <c r="AL5" t="s">
        <v>6</v>
      </c>
      <c r="AM5" t="s">
        <v>7</v>
      </c>
      <c r="AN5" t="s">
        <v>8</v>
      </c>
    </row>
    <row r="6" spans="1:50" ht="15.75">
      <c r="E6" s="3"/>
      <c r="F6" s="3"/>
      <c r="G6" s="3"/>
      <c r="H6" s="3"/>
      <c r="I6" s="3"/>
      <c r="L6" s="3"/>
      <c r="M6" s="3">
        <v>1</v>
      </c>
      <c r="N6" s="3">
        <v>90</v>
      </c>
      <c r="O6" s="3">
        <v>16</v>
      </c>
      <c r="P6" s="3"/>
      <c r="T6" s="3"/>
      <c r="U6" s="5">
        <v>1</v>
      </c>
      <c r="V6" s="5">
        <v>122.6</v>
      </c>
      <c r="W6" s="5">
        <v>21.8</v>
      </c>
      <c r="X6" s="5"/>
      <c r="AB6" s="3"/>
      <c r="AC6" s="3">
        <v>1</v>
      </c>
      <c r="AD6" s="5">
        <v>51.5</v>
      </c>
      <c r="AE6" s="5">
        <v>9.16</v>
      </c>
      <c r="AF6" s="3"/>
      <c r="AJ6" s="3"/>
      <c r="AK6" s="3">
        <v>1</v>
      </c>
      <c r="AL6" s="3" t="s">
        <v>9</v>
      </c>
      <c r="AM6" s="3" t="s">
        <v>9</v>
      </c>
      <c r="AN6" s="3"/>
    </row>
    <row r="7" spans="1:50" ht="15.75">
      <c r="E7" s="3"/>
      <c r="F7" s="3"/>
      <c r="G7" s="3"/>
      <c r="H7" s="3"/>
      <c r="I7" s="3"/>
      <c r="L7" s="3"/>
      <c r="M7" s="3">
        <v>2</v>
      </c>
      <c r="N7" s="3">
        <v>88.5</v>
      </c>
      <c r="O7" s="3">
        <v>15.73</v>
      </c>
      <c r="P7" s="3"/>
      <c r="T7" s="3"/>
      <c r="U7" s="5">
        <v>2</v>
      </c>
      <c r="V7" s="5">
        <v>101.5</v>
      </c>
      <c r="W7" s="5">
        <v>18.04</v>
      </c>
      <c r="X7" s="5"/>
      <c r="AB7" s="3"/>
      <c r="AC7" s="3">
        <v>2</v>
      </c>
      <c r="AD7" s="5">
        <v>66.2</v>
      </c>
      <c r="AE7" s="5">
        <v>11.77</v>
      </c>
      <c r="AF7" s="3"/>
      <c r="AJ7" s="3"/>
      <c r="AK7" s="3">
        <v>2</v>
      </c>
      <c r="AL7" s="3" t="s">
        <v>9</v>
      </c>
      <c r="AM7" s="3" t="s">
        <v>9</v>
      </c>
      <c r="AN7" s="3"/>
    </row>
    <row r="8" spans="1:50" ht="18" customHeight="1">
      <c r="B8" s="4"/>
      <c r="C8" s="4"/>
      <c r="D8" s="4"/>
      <c r="E8" s="4"/>
      <c r="F8" s="4"/>
      <c r="G8" s="3"/>
      <c r="H8" s="3"/>
      <c r="I8" s="3"/>
      <c r="L8" s="3"/>
      <c r="M8" s="3">
        <v>3</v>
      </c>
      <c r="N8" s="3">
        <v>73.099999999999994</v>
      </c>
      <c r="O8" s="3">
        <v>13</v>
      </c>
      <c r="P8" s="3"/>
      <c r="T8" s="3"/>
      <c r="U8" s="5">
        <v>3</v>
      </c>
      <c r="V8" s="5">
        <v>70</v>
      </c>
      <c r="W8" s="5">
        <v>12.44</v>
      </c>
      <c r="X8" s="5"/>
      <c r="AB8" s="3"/>
      <c r="AC8" s="3">
        <v>3</v>
      </c>
      <c r="AD8" s="5">
        <v>74.5</v>
      </c>
      <c r="AE8" s="5">
        <v>13.24</v>
      </c>
      <c r="AF8" s="3"/>
      <c r="AJ8" s="3"/>
      <c r="AK8" s="3">
        <v>3</v>
      </c>
      <c r="AL8" s="3" t="s">
        <v>9</v>
      </c>
      <c r="AM8" s="3" t="s">
        <v>9</v>
      </c>
      <c r="AN8" s="3"/>
    </row>
    <row r="9" spans="1:50" ht="15.75">
      <c r="B9" s="5"/>
      <c r="C9" s="5"/>
      <c r="D9" s="5"/>
      <c r="E9" s="5"/>
      <c r="F9" s="5"/>
      <c r="G9" s="3"/>
      <c r="H9" s="3"/>
      <c r="I9" s="3"/>
      <c r="L9" s="3"/>
      <c r="M9" s="3">
        <v>4</v>
      </c>
      <c r="N9" s="3">
        <f>-1.5*(Table1[[#This Row],[Sample Description]]-1)+90</f>
        <v>85.5</v>
      </c>
      <c r="O9" s="3">
        <f>(-0.27*(Table1[[#This Row],[Sample Description]]-1)+16)</f>
        <v>15.19</v>
      </c>
      <c r="P9" s="3"/>
      <c r="T9" s="3"/>
      <c r="U9" s="3">
        <v>4</v>
      </c>
      <c r="V9" s="3">
        <f>(-21.1*(Table1_3[[#This Row],[Sample Description]]-1)+122.6)</f>
        <v>59.29999999999999</v>
      </c>
      <c r="W9" s="3">
        <f>(-3.76*(Table1_3[[#This Row],[Sample Description]]-1)+21.8)</f>
        <v>10.520000000000001</v>
      </c>
      <c r="X9" s="3"/>
      <c r="AB9" s="3"/>
      <c r="AC9" s="3">
        <v>4</v>
      </c>
      <c r="AD9" s="3">
        <f>(8.2*(Table1_34[[#This Row],[Sample Description]]-2)+66.2)</f>
        <v>82.6</v>
      </c>
      <c r="AE9" s="3">
        <f>(1.47*(Table1_34[[#This Row],[Sample Description]]-2)+11.77)</f>
        <v>14.709999999999999</v>
      </c>
      <c r="AF9" s="3"/>
      <c r="AJ9" s="3"/>
      <c r="AK9" s="3">
        <v>4</v>
      </c>
      <c r="AL9" s="3" t="s">
        <v>9</v>
      </c>
      <c r="AM9" s="3" t="s">
        <v>9</v>
      </c>
      <c r="AN9" s="3"/>
    </row>
    <row r="10" spans="1:50" ht="15.75">
      <c r="B10" s="4"/>
      <c r="C10" s="4"/>
      <c r="D10" s="4"/>
      <c r="E10" s="4"/>
      <c r="F10" s="4"/>
      <c r="G10" s="3"/>
      <c r="H10" s="3"/>
      <c r="I10" s="3"/>
      <c r="L10" s="3"/>
      <c r="M10" s="3">
        <v>5</v>
      </c>
      <c r="N10" s="3">
        <f>-1.5*(Table1[[#This Row],[Sample Description]]-1)+90</f>
        <v>84</v>
      </c>
      <c r="O10" s="3">
        <f>(-0.27*(Table1[[#This Row],[Sample Description]]-1)+16)</f>
        <v>14.92</v>
      </c>
      <c r="P10" s="3"/>
      <c r="T10" s="3"/>
      <c r="U10" s="3">
        <v>5</v>
      </c>
      <c r="V10" s="3">
        <f>(-21.1*(Table1_3[[#This Row],[Sample Description]]-1)+122.6)</f>
        <v>38.199999999999989</v>
      </c>
      <c r="W10" s="3">
        <f>(-3.76*(Table1_3[[#This Row],[Sample Description]]-1)+21.8)</f>
        <v>6.7600000000000016</v>
      </c>
      <c r="X10" s="3"/>
      <c r="AB10" s="3"/>
      <c r="AC10" s="3">
        <v>5</v>
      </c>
      <c r="AD10" s="3">
        <f>(8.2*(Table1_34[[#This Row],[Sample Description]]-2)+66.2)</f>
        <v>90.8</v>
      </c>
      <c r="AE10" s="3">
        <f>(1.47*(Table1_34[[#This Row],[Sample Description]]-2)+11.77)</f>
        <v>16.18</v>
      </c>
      <c r="AF10" s="3"/>
      <c r="AJ10" s="3"/>
      <c r="AK10" s="3">
        <v>5</v>
      </c>
      <c r="AL10" s="3" t="s">
        <v>9</v>
      </c>
      <c r="AM10" s="3" t="s">
        <v>9</v>
      </c>
      <c r="AN10" s="3"/>
      <c r="AT10" s="4"/>
      <c r="AU10" s="4"/>
      <c r="AV10" s="4"/>
      <c r="AW10" s="4"/>
      <c r="AX10" s="4"/>
    </row>
    <row r="11" spans="1:50" ht="15.75" customHeight="1">
      <c r="B11" s="16"/>
      <c r="C11" s="5"/>
      <c r="D11" s="5"/>
      <c r="E11" s="5"/>
      <c r="F11" s="16"/>
      <c r="G11" s="3"/>
      <c r="H11" s="3"/>
      <c r="I11" s="3"/>
      <c r="L11" s="3"/>
      <c r="M11" s="3">
        <v>6</v>
      </c>
      <c r="N11" s="3">
        <f>-1.5*(Table1[[#This Row],[Sample Description]]-1)+90</f>
        <v>82.5</v>
      </c>
      <c r="O11" s="3">
        <f>(-0.27*(Table1[[#This Row],[Sample Description]]-1)+16)</f>
        <v>14.65</v>
      </c>
      <c r="P11" s="3"/>
      <c r="T11" s="3"/>
      <c r="U11" s="3">
        <v>6</v>
      </c>
      <c r="V11" s="3">
        <f>(-21.1*(Table1_3[[#This Row],[Sample Description]]-1)+122.6)</f>
        <v>17.099999999999994</v>
      </c>
      <c r="W11" s="3">
        <f>(-3.76*(Table1_3[[#This Row],[Sample Description]]-1)+21.8)</f>
        <v>3.0000000000000036</v>
      </c>
      <c r="X11" s="3"/>
      <c r="AB11" s="3"/>
      <c r="AC11" s="3">
        <v>6</v>
      </c>
      <c r="AD11" s="3">
        <f>(8.2*(Table1_34[[#This Row],[Sample Description]]-2)+66.2)</f>
        <v>99</v>
      </c>
      <c r="AE11" s="3">
        <f>(1.47*(Table1_34[[#This Row],[Sample Description]]-2)+11.77)</f>
        <v>17.649999999999999</v>
      </c>
      <c r="AF11" s="3"/>
      <c r="AJ11" s="3"/>
      <c r="AK11" s="3">
        <v>6</v>
      </c>
      <c r="AL11" s="3" t="s">
        <v>9</v>
      </c>
      <c r="AM11" s="3" t="s">
        <v>9</v>
      </c>
      <c r="AN11" s="3"/>
      <c r="AT11" s="16"/>
      <c r="AU11" s="5"/>
      <c r="AV11" s="5"/>
      <c r="AW11" s="5"/>
      <c r="AX11" s="16"/>
    </row>
    <row r="12" spans="1:50" ht="15.75">
      <c r="B12" s="16"/>
      <c r="C12" s="5"/>
      <c r="D12" s="5"/>
      <c r="E12" s="5"/>
      <c r="F12" s="16"/>
      <c r="L12" s="3"/>
      <c r="M12" s="3">
        <v>7</v>
      </c>
      <c r="N12" s="3">
        <f>-1.5*(Table1[[#This Row],[Sample Description]]-1)+90</f>
        <v>81</v>
      </c>
      <c r="O12" s="3">
        <f>(-0.27*(Table1[[#This Row],[Sample Description]]-1)+16)</f>
        <v>14.379999999999999</v>
      </c>
      <c r="P12" s="3"/>
      <c r="T12" s="3"/>
      <c r="U12" s="3">
        <v>7</v>
      </c>
      <c r="V12" s="3">
        <f>(-21.1*(Table1_3[[#This Row],[Sample Description]]-1)+122.6)</f>
        <v>-4.0000000000000142</v>
      </c>
      <c r="W12" s="3">
        <f>(-3.76*(Table1_3[[#This Row],[Sample Description]]-1)+21.8)</f>
        <v>-0.75999999999999801</v>
      </c>
      <c r="X12" s="3"/>
      <c r="AB12" s="3"/>
      <c r="AC12" s="3">
        <v>7</v>
      </c>
      <c r="AD12" s="3">
        <f>(8.2*(Table1_34[[#This Row],[Sample Description]]-2)+66.2)</f>
        <v>107.2</v>
      </c>
      <c r="AE12" s="3">
        <f>(1.47*(Table1_34[[#This Row],[Sample Description]]-2)+11.77)</f>
        <v>19.119999999999997</v>
      </c>
      <c r="AF12" s="3"/>
      <c r="AJ12" s="3"/>
      <c r="AK12" s="3">
        <v>7</v>
      </c>
      <c r="AL12" s="3" t="s">
        <v>9</v>
      </c>
      <c r="AM12" s="3" t="s">
        <v>9</v>
      </c>
      <c r="AN12" s="3"/>
      <c r="AT12" s="16"/>
      <c r="AU12" s="5"/>
      <c r="AV12" s="5"/>
      <c r="AW12" s="5"/>
      <c r="AX12" s="16"/>
    </row>
    <row r="13" spans="1:50" ht="15.75">
      <c r="B13" s="16"/>
      <c r="C13" s="5"/>
      <c r="D13" s="5"/>
      <c r="E13" s="5"/>
      <c r="F13" s="16"/>
      <c r="L13" s="3"/>
      <c r="M13" s="3">
        <v>8</v>
      </c>
      <c r="N13" s="3">
        <f>-1.5*(Table1[[#This Row],[Sample Description]]-1)+90</f>
        <v>79.5</v>
      </c>
      <c r="O13" s="3">
        <f>(-0.27*(Table1[[#This Row],[Sample Description]]-1)+16)</f>
        <v>14.11</v>
      </c>
      <c r="P13" s="3"/>
      <c r="T13" s="3"/>
      <c r="U13" s="3">
        <v>8</v>
      </c>
      <c r="V13" s="3">
        <f>(-21.1*(Table1_3[[#This Row],[Sample Description]]-1)+122.6)</f>
        <v>-25.100000000000023</v>
      </c>
      <c r="W13" s="3">
        <f>(-3.76*(Table1_3[[#This Row],[Sample Description]]-1)+21.8)</f>
        <v>-4.5199999999999996</v>
      </c>
      <c r="X13" s="3"/>
      <c r="AB13" s="3"/>
      <c r="AC13" s="3">
        <v>8</v>
      </c>
      <c r="AD13" s="3">
        <f>(8.2*(Table1_34[[#This Row],[Sample Description]]-2)+66.2)</f>
        <v>115.4</v>
      </c>
      <c r="AE13" s="3">
        <f>(1.47*(Table1_34[[#This Row],[Sample Description]]-2)+11.77)</f>
        <v>20.59</v>
      </c>
      <c r="AF13" s="3"/>
      <c r="AJ13" s="3"/>
      <c r="AK13" s="3">
        <v>8</v>
      </c>
      <c r="AL13" s="3" t="s">
        <v>9</v>
      </c>
      <c r="AM13" s="3" t="s">
        <v>9</v>
      </c>
      <c r="AN13" s="3"/>
      <c r="AT13" s="16"/>
      <c r="AU13" s="5"/>
      <c r="AV13" s="5"/>
      <c r="AW13" s="5"/>
      <c r="AX13" s="16"/>
    </row>
    <row r="14" spans="1:50" ht="15.75" customHeight="1">
      <c r="B14" s="16"/>
      <c r="C14" s="5"/>
      <c r="D14" s="5"/>
      <c r="E14" s="5"/>
      <c r="F14" s="16"/>
      <c r="L14" s="3"/>
      <c r="M14" s="3">
        <v>9</v>
      </c>
      <c r="N14" s="3">
        <f>-1.5*(Table1[[#This Row],[Sample Description]]-1)+90</f>
        <v>78</v>
      </c>
      <c r="O14" s="3">
        <f>(-0.27*(Table1[[#This Row],[Sample Description]]-1)+16)</f>
        <v>13.84</v>
      </c>
      <c r="P14" s="3"/>
      <c r="T14" s="3"/>
      <c r="U14" s="3">
        <v>9</v>
      </c>
      <c r="V14" s="3">
        <f>(-21.1*(Table1_3[[#This Row],[Sample Description]]-1)+122.6)</f>
        <v>-46.200000000000017</v>
      </c>
      <c r="W14" s="3">
        <f>(-3.76*(Table1_3[[#This Row],[Sample Description]]-1)+21.8)</f>
        <v>-8.2799999999999976</v>
      </c>
      <c r="X14" s="3"/>
      <c r="AB14" s="3"/>
      <c r="AC14" s="3">
        <v>9</v>
      </c>
      <c r="AD14" s="3">
        <f>(8.2*(Table1_34[[#This Row],[Sample Description]]-2)+66.2)</f>
        <v>123.6</v>
      </c>
      <c r="AE14" s="3">
        <f>(1.47*(Table1_34[[#This Row],[Sample Description]]-2)+11.77)</f>
        <v>22.06</v>
      </c>
      <c r="AF14" s="3"/>
      <c r="AJ14" s="3"/>
      <c r="AK14" s="3">
        <v>9</v>
      </c>
      <c r="AL14" s="3" t="s">
        <v>9</v>
      </c>
      <c r="AM14" s="3" t="s">
        <v>9</v>
      </c>
      <c r="AN14" s="3"/>
      <c r="AT14" s="16"/>
      <c r="AU14" s="5"/>
      <c r="AV14" s="5"/>
      <c r="AW14" s="5"/>
      <c r="AX14" s="16"/>
    </row>
    <row r="15" spans="1:50" ht="15.75">
      <c r="B15" s="16"/>
      <c r="C15" s="5"/>
      <c r="D15" s="5"/>
      <c r="E15" s="5"/>
      <c r="F15" s="16"/>
      <c r="L15" s="3" t="s">
        <v>10</v>
      </c>
      <c r="M15" s="3">
        <v>10</v>
      </c>
      <c r="N15" s="3">
        <f>-1.5*(Table1[[#This Row],[Sample Description]]-1)+90</f>
        <v>76.5</v>
      </c>
      <c r="O15" s="3">
        <f>(-0.27*(Table1[[#This Row],[Sample Description]]-1)+16)</f>
        <v>13.57</v>
      </c>
      <c r="P15" s="3">
        <f>(SUM(O6:O25)/20)</f>
        <v>13.312000000000001</v>
      </c>
      <c r="T15" s="3" t="s">
        <v>10</v>
      </c>
      <c r="U15" s="3">
        <v>10</v>
      </c>
      <c r="V15" s="3">
        <f>(-21.1*(Table1_3[[#This Row],[Sample Description]]-1)+122.6)</f>
        <v>-67.300000000000011</v>
      </c>
      <c r="W15" s="3">
        <f>(-3.76*(Table1_3[[#This Row],[Sample Description]]-1)+21.8)</f>
        <v>-12.039999999999996</v>
      </c>
      <c r="X15" s="3">
        <f>(SUM(W6:W25))/20</f>
        <v>-14.011999999999997</v>
      </c>
      <c r="AB15" s="3" t="s">
        <v>10</v>
      </c>
      <c r="AC15" s="3">
        <v>10</v>
      </c>
      <c r="AD15" s="3">
        <f>(8.2*(Table1_34[[#This Row],[Sample Description]]-2)+66.2)</f>
        <v>131.80000000000001</v>
      </c>
      <c r="AE15" s="3">
        <f>(1.47*(Table1_34[[#This Row],[Sample Description]]-2)+11.77)</f>
        <v>23.53</v>
      </c>
      <c r="AF15" s="3">
        <f>(SUM(AE6:AE25)/20)</f>
        <v>24.208000000000006</v>
      </c>
      <c r="AJ15" s="3" t="s">
        <v>10</v>
      </c>
      <c r="AK15" s="3">
        <v>10</v>
      </c>
      <c r="AL15" s="3" t="s">
        <v>9</v>
      </c>
      <c r="AM15" s="3" t="s">
        <v>9</v>
      </c>
      <c r="AN15" s="3" t="s">
        <v>9</v>
      </c>
      <c r="AT15" s="16"/>
      <c r="AU15" s="5"/>
      <c r="AV15" s="5"/>
      <c r="AW15" s="5"/>
      <c r="AX15" s="16"/>
    </row>
    <row r="16" spans="1:50" ht="15.75">
      <c r="B16" s="16"/>
      <c r="C16" s="5"/>
      <c r="D16" s="5"/>
      <c r="E16" s="5"/>
      <c r="F16" s="16"/>
      <c r="L16" s="3"/>
      <c r="M16" s="3">
        <v>11</v>
      </c>
      <c r="N16" s="3">
        <f>-1.5*(Table1[[#This Row],[Sample Description]]-1)+90</f>
        <v>75</v>
      </c>
      <c r="O16" s="3">
        <f>(-0.27*(Table1[[#This Row],[Sample Description]]-1)+16)</f>
        <v>13.3</v>
      </c>
      <c r="P16" s="3"/>
      <c r="T16" s="3"/>
      <c r="U16" s="3">
        <v>11</v>
      </c>
      <c r="V16" s="3">
        <f>(-21.1*(Table1_3[[#This Row],[Sample Description]]-1)+122.6)</f>
        <v>-88.4</v>
      </c>
      <c r="W16" s="3">
        <f>(-3.76*(Table1_3[[#This Row],[Sample Description]]-1)+21.8)</f>
        <v>-15.799999999999994</v>
      </c>
      <c r="X16" s="3"/>
      <c r="AB16" s="3"/>
      <c r="AC16" s="3">
        <v>11</v>
      </c>
      <c r="AD16" s="3">
        <f>(8.2*(Table1_34[[#This Row],[Sample Description]]-2)+66.2)</f>
        <v>140</v>
      </c>
      <c r="AE16" s="3">
        <f>(1.47*(Table1_34[[#This Row],[Sample Description]]-2)+11.77)</f>
        <v>25</v>
      </c>
      <c r="AF16" s="3"/>
      <c r="AJ16" s="3"/>
      <c r="AK16" s="3">
        <v>11</v>
      </c>
      <c r="AL16" s="3" t="s">
        <v>9</v>
      </c>
      <c r="AM16" s="3" t="s">
        <v>9</v>
      </c>
      <c r="AN16" s="3"/>
      <c r="AT16" s="16"/>
      <c r="AU16" s="5"/>
      <c r="AV16" s="5"/>
      <c r="AW16" s="5"/>
      <c r="AX16" s="16"/>
    </row>
    <row r="17" spans="2:50" ht="15.75" customHeight="1">
      <c r="B17" s="16"/>
      <c r="C17" s="5"/>
      <c r="D17" s="5"/>
      <c r="E17" s="5"/>
      <c r="F17" s="16"/>
      <c r="L17" s="3"/>
      <c r="M17" s="3">
        <v>12</v>
      </c>
      <c r="N17" s="3">
        <f>-1.5*(Table1[[#This Row],[Sample Description]]-1)+90</f>
        <v>73.5</v>
      </c>
      <c r="O17" s="3">
        <f>(-0.27*(Table1[[#This Row],[Sample Description]]-1)+16)</f>
        <v>13.03</v>
      </c>
      <c r="P17" s="3"/>
      <c r="T17" s="3"/>
      <c r="U17" s="3">
        <v>12</v>
      </c>
      <c r="V17" s="3">
        <f>(-21.1*(Table1_3[[#This Row],[Sample Description]]-1)+122.6)</f>
        <v>-109.50000000000003</v>
      </c>
      <c r="W17" s="3">
        <f>(-3.76*(Table1_3[[#This Row],[Sample Description]]-1)+21.8)</f>
        <v>-19.559999999999999</v>
      </c>
      <c r="X17" s="3"/>
      <c r="AB17" s="3"/>
      <c r="AC17" s="3">
        <v>12</v>
      </c>
      <c r="AD17" s="3">
        <f>(8.2*(Table1_34[[#This Row],[Sample Description]]-2)+66.2)</f>
        <v>148.19999999999999</v>
      </c>
      <c r="AE17" s="3">
        <f>(1.47*(Table1_34[[#This Row],[Sample Description]]-2)+11.77)</f>
        <v>26.47</v>
      </c>
      <c r="AF17" s="3"/>
      <c r="AJ17" s="3"/>
      <c r="AK17" s="3">
        <v>12</v>
      </c>
      <c r="AL17" s="3" t="s">
        <v>9</v>
      </c>
      <c r="AM17" s="3" t="s">
        <v>9</v>
      </c>
      <c r="AN17" s="3"/>
      <c r="AT17" s="16"/>
      <c r="AU17" s="5"/>
      <c r="AV17" s="5"/>
      <c r="AW17" s="5"/>
      <c r="AX17" s="16"/>
    </row>
    <row r="18" spans="2:50" ht="15.75">
      <c r="B18" s="16"/>
      <c r="C18" s="5"/>
      <c r="D18" s="5"/>
      <c r="E18" s="5"/>
      <c r="F18" s="16"/>
      <c r="L18" s="3"/>
      <c r="M18" s="3">
        <v>13</v>
      </c>
      <c r="N18" s="3">
        <f>-1.5*(Table1[[#This Row],[Sample Description]]-1)+90</f>
        <v>72</v>
      </c>
      <c r="O18" s="3">
        <f>(-0.27*(Table1[[#This Row],[Sample Description]]-1)+16)</f>
        <v>12.76</v>
      </c>
      <c r="P18" s="3"/>
      <c r="T18" s="3"/>
      <c r="U18" s="3">
        <v>13</v>
      </c>
      <c r="V18" s="3">
        <f>(-21.1*(Table1_3[[#This Row],[Sample Description]]-1)+122.6)</f>
        <v>-130.60000000000002</v>
      </c>
      <c r="W18" s="3">
        <f>(-3.76*(Table1_3[[#This Row],[Sample Description]]-1)+21.8)</f>
        <v>-23.319999999999997</v>
      </c>
      <c r="X18" s="3"/>
      <c r="AB18" s="3"/>
      <c r="AC18" s="3">
        <v>13</v>
      </c>
      <c r="AD18" s="3">
        <f>(8.2*(Table1_34[[#This Row],[Sample Description]]-2)+66.2)</f>
        <v>156.39999999999998</v>
      </c>
      <c r="AE18" s="3">
        <f>(1.47*(Table1_34[[#This Row],[Sample Description]]-2)+11.77)</f>
        <v>27.939999999999998</v>
      </c>
      <c r="AF18" s="3"/>
      <c r="AJ18" s="3"/>
      <c r="AK18" s="3">
        <v>13</v>
      </c>
      <c r="AL18" s="3" t="s">
        <v>9</v>
      </c>
      <c r="AM18" s="3" t="s">
        <v>9</v>
      </c>
      <c r="AN18" s="3"/>
      <c r="AT18" s="16"/>
      <c r="AU18" s="5"/>
      <c r="AV18" s="5"/>
      <c r="AW18" s="5"/>
      <c r="AX18" s="16"/>
    </row>
    <row r="19" spans="2:50" ht="15.75">
      <c r="B19" s="16"/>
      <c r="C19" s="5"/>
      <c r="D19" s="5"/>
      <c r="E19" s="5"/>
      <c r="F19" s="16"/>
      <c r="L19" s="3"/>
      <c r="M19" s="3">
        <v>14</v>
      </c>
      <c r="N19" s="3">
        <f>-1.5*(Table1[[#This Row],[Sample Description]]-1)+90</f>
        <v>70.5</v>
      </c>
      <c r="O19" s="3">
        <f>(-0.27*(Table1[[#This Row],[Sample Description]]-1)+16)</f>
        <v>12.49</v>
      </c>
      <c r="P19" s="3"/>
      <c r="T19" s="3"/>
      <c r="U19" s="3">
        <v>14</v>
      </c>
      <c r="V19" s="3">
        <f>(-21.1*(Table1_3[[#This Row],[Sample Description]]-1)+122.6)</f>
        <v>-151.70000000000002</v>
      </c>
      <c r="W19" s="3">
        <f>(-3.76*(Table1_3[[#This Row],[Sample Description]]-1)+21.8)</f>
        <v>-27.079999999999995</v>
      </c>
      <c r="X19" s="3"/>
      <c r="AB19" s="3"/>
      <c r="AC19" s="3">
        <v>14</v>
      </c>
      <c r="AD19" s="3">
        <f>(8.2*(Table1_34[[#This Row],[Sample Description]]-2)+66.2)</f>
        <v>164.6</v>
      </c>
      <c r="AE19" s="3">
        <f>(1.47*(Table1_34[[#This Row],[Sample Description]]-2)+11.77)</f>
        <v>29.41</v>
      </c>
      <c r="AF19" s="3"/>
      <c r="AJ19" s="3"/>
      <c r="AK19" s="3">
        <v>14</v>
      </c>
      <c r="AL19" s="3" t="s">
        <v>9</v>
      </c>
      <c r="AM19" s="3" t="s">
        <v>9</v>
      </c>
      <c r="AN19" s="3"/>
      <c r="AT19" s="16"/>
      <c r="AU19" s="5"/>
      <c r="AV19" s="5"/>
      <c r="AW19" s="5"/>
      <c r="AX19" s="16"/>
    </row>
    <row r="20" spans="2:50" ht="15.75" customHeight="1">
      <c r="B20" s="16"/>
      <c r="C20" s="5"/>
      <c r="D20" s="5"/>
      <c r="E20" s="5"/>
      <c r="F20" s="16"/>
      <c r="L20" s="3"/>
      <c r="M20" s="3">
        <v>15</v>
      </c>
      <c r="N20" s="3">
        <f>-1.5*(Table1[[#This Row],[Sample Description]]-1)+90</f>
        <v>69</v>
      </c>
      <c r="O20" s="3">
        <f>(-0.27*(Table1[[#This Row],[Sample Description]]-1)+16)</f>
        <v>12.219999999999999</v>
      </c>
      <c r="P20" s="3"/>
      <c r="T20" s="3"/>
      <c r="U20" s="3">
        <v>15</v>
      </c>
      <c r="V20" s="3">
        <f>(-21.1*(Table1_3[[#This Row],[Sample Description]]-1)+122.6)</f>
        <v>-172.80000000000004</v>
      </c>
      <c r="W20" s="3">
        <f>(-3.76*(Table1_3[[#This Row],[Sample Description]]-1)+21.8)</f>
        <v>-30.84</v>
      </c>
      <c r="X20" s="3"/>
      <c r="AB20" s="3"/>
      <c r="AC20" s="3">
        <v>15</v>
      </c>
      <c r="AD20" s="3">
        <f>(8.2*(Table1_34[[#This Row],[Sample Description]]-2)+66.2)</f>
        <v>172.8</v>
      </c>
      <c r="AE20" s="3">
        <f>(1.47*(Table1_34[[#This Row],[Sample Description]]-2)+11.77)</f>
        <v>30.88</v>
      </c>
      <c r="AF20" s="3"/>
      <c r="AJ20" s="3"/>
      <c r="AK20" s="3">
        <v>15</v>
      </c>
      <c r="AL20" s="3" t="s">
        <v>9</v>
      </c>
      <c r="AM20" s="3" t="s">
        <v>9</v>
      </c>
      <c r="AN20" s="3"/>
      <c r="AT20" s="16"/>
      <c r="AU20" s="5"/>
      <c r="AV20" s="5"/>
      <c r="AW20" s="5"/>
      <c r="AX20" s="16"/>
    </row>
    <row r="21" spans="2:50" ht="15.75">
      <c r="B21" s="16"/>
      <c r="C21" s="5"/>
      <c r="D21" s="5"/>
      <c r="E21" s="5"/>
      <c r="F21" s="16"/>
      <c r="L21" s="3"/>
      <c r="M21" s="3">
        <v>16</v>
      </c>
      <c r="N21" s="3">
        <f>-1.5*(Table1[[#This Row],[Sample Description]]-1)+90</f>
        <v>67.5</v>
      </c>
      <c r="O21" s="3">
        <f>(-0.27*(Table1[[#This Row],[Sample Description]]-1)+16)</f>
        <v>11.95</v>
      </c>
      <c r="P21" s="3"/>
      <c r="T21" s="3"/>
      <c r="U21" s="3">
        <v>16</v>
      </c>
      <c r="V21" s="3">
        <f>(-21.1*(Table1_3[[#This Row],[Sample Description]]-1)+122.6)</f>
        <v>-193.9</v>
      </c>
      <c r="W21" s="3">
        <f>(-3.76*(Table1_3[[#This Row],[Sample Description]]-1)+21.8)</f>
        <v>-34.599999999999994</v>
      </c>
      <c r="X21" s="3"/>
      <c r="AB21" s="3"/>
      <c r="AC21" s="3">
        <v>16</v>
      </c>
      <c r="AD21" s="3">
        <f>(8.2*(Table1_34[[#This Row],[Sample Description]]-2)+66.2)</f>
        <v>181</v>
      </c>
      <c r="AE21" s="3">
        <f>(1.47*(Table1_34[[#This Row],[Sample Description]]-2)+11.77)</f>
        <v>32.349999999999994</v>
      </c>
      <c r="AF21" s="3"/>
      <c r="AJ21" s="3"/>
      <c r="AK21" s="3">
        <v>16</v>
      </c>
      <c r="AL21" s="3" t="s">
        <v>9</v>
      </c>
      <c r="AM21" s="3" t="s">
        <v>9</v>
      </c>
      <c r="AN21" s="3"/>
      <c r="AT21" s="16"/>
      <c r="AU21" s="5"/>
      <c r="AV21" s="5"/>
      <c r="AW21" s="5"/>
      <c r="AX21" s="16"/>
    </row>
    <row r="22" spans="2:50" ht="15.75">
      <c r="B22" s="16"/>
      <c r="C22" s="5"/>
      <c r="D22" s="5"/>
      <c r="E22" s="5"/>
      <c r="F22" s="16"/>
      <c r="L22" s="3"/>
      <c r="M22" s="3">
        <v>17</v>
      </c>
      <c r="N22" s="3">
        <f>-1.5*(Table1[[#This Row],[Sample Description]]-1)+90</f>
        <v>66</v>
      </c>
      <c r="O22" s="3">
        <f>(-0.27*(Table1[[#This Row],[Sample Description]]-1)+16)</f>
        <v>11.68</v>
      </c>
      <c r="P22" s="3"/>
      <c r="T22" s="3"/>
      <c r="U22" s="3">
        <v>17</v>
      </c>
      <c r="V22" s="3">
        <f>(-21.1*(Table1_3[[#This Row],[Sample Description]]-1)+122.6)</f>
        <v>-215.00000000000003</v>
      </c>
      <c r="W22" s="3">
        <f>(-3.76*(Table1_3[[#This Row],[Sample Description]]-1)+21.8)</f>
        <v>-38.36</v>
      </c>
      <c r="X22" s="3"/>
      <c r="AB22" s="3"/>
      <c r="AC22" s="3">
        <v>17</v>
      </c>
      <c r="AD22" s="3">
        <f>(8.2*(Table1_34[[#This Row],[Sample Description]]-2)+66.2)</f>
        <v>189.2</v>
      </c>
      <c r="AE22" s="3">
        <f>(1.47*(Table1_34[[#This Row],[Sample Description]]-2)+11.77)</f>
        <v>33.82</v>
      </c>
      <c r="AF22" s="3"/>
      <c r="AJ22" s="3"/>
      <c r="AK22" s="3">
        <v>17</v>
      </c>
      <c r="AL22" s="3" t="s">
        <v>9</v>
      </c>
      <c r="AM22" s="3" t="s">
        <v>9</v>
      </c>
      <c r="AN22" s="3"/>
      <c r="AT22" s="16"/>
      <c r="AU22" s="5"/>
      <c r="AV22" s="5"/>
      <c r="AW22" s="5"/>
      <c r="AX22" s="16"/>
    </row>
    <row r="23" spans="2:50" ht="15.75" customHeight="1">
      <c r="B23" s="16"/>
      <c r="C23" s="5"/>
      <c r="D23" s="5"/>
      <c r="E23" s="5"/>
      <c r="F23" s="16"/>
      <c r="L23" s="3"/>
      <c r="M23" s="3">
        <v>18</v>
      </c>
      <c r="N23" s="3">
        <f>-1.5*(Table1[[#This Row],[Sample Description]]-1)+90</f>
        <v>64.5</v>
      </c>
      <c r="O23" s="3">
        <f>(-0.27*(Table1[[#This Row],[Sample Description]]-1)+16)</f>
        <v>11.41</v>
      </c>
      <c r="P23" s="3"/>
      <c r="T23" s="3"/>
      <c r="U23" s="3">
        <v>18</v>
      </c>
      <c r="V23" s="3">
        <f>(-21.1*(Table1_3[[#This Row],[Sample Description]]-1)+122.6)</f>
        <v>-236.10000000000005</v>
      </c>
      <c r="W23" s="3">
        <f>(-3.76*(Table1_3[[#This Row],[Sample Description]]-1)+21.8)</f>
        <v>-42.11999999999999</v>
      </c>
      <c r="X23" s="3"/>
      <c r="AB23" s="3"/>
      <c r="AC23" s="3">
        <v>18</v>
      </c>
      <c r="AD23" s="3">
        <f>(8.2*(Table1_34[[#This Row],[Sample Description]]-2)+66.2)</f>
        <v>197.39999999999998</v>
      </c>
      <c r="AE23" s="3">
        <f>(1.47*(Table1_34[[#This Row],[Sample Description]]-2)+11.77)</f>
        <v>35.29</v>
      </c>
      <c r="AF23" s="3"/>
      <c r="AJ23" s="3"/>
      <c r="AK23" s="3">
        <v>18</v>
      </c>
      <c r="AL23" s="3" t="s">
        <v>9</v>
      </c>
      <c r="AM23" s="3" t="s">
        <v>9</v>
      </c>
      <c r="AN23" s="3"/>
      <c r="AT23" s="16"/>
      <c r="AU23" s="5"/>
      <c r="AV23" s="5"/>
      <c r="AW23" s="5"/>
      <c r="AX23" s="16"/>
    </row>
    <row r="24" spans="2:50" ht="15.75">
      <c r="B24" s="16"/>
      <c r="C24" s="5"/>
      <c r="D24" s="5"/>
      <c r="E24" s="5"/>
      <c r="F24" s="16"/>
      <c r="L24" s="3"/>
      <c r="M24" s="3">
        <v>19</v>
      </c>
      <c r="N24" s="3">
        <f>-1.5*(Table1[[#This Row],[Sample Description]]-1)+90</f>
        <v>63</v>
      </c>
      <c r="O24" s="3">
        <f>(-0.27*(Table1[[#This Row],[Sample Description]]-1)+16)</f>
        <v>11.14</v>
      </c>
      <c r="P24" s="3"/>
      <c r="T24" s="3"/>
      <c r="U24" s="3">
        <v>19</v>
      </c>
      <c r="V24" s="3">
        <f>(-21.1*(Table1_3[[#This Row],[Sample Description]]-1)+122.6)</f>
        <v>-257.20000000000005</v>
      </c>
      <c r="W24" s="3">
        <f>(-3.76*(Table1_3[[#This Row],[Sample Description]]-1)+21.8)</f>
        <v>-45.879999999999995</v>
      </c>
      <c r="X24" s="3"/>
      <c r="AB24" s="3"/>
      <c r="AC24" s="3">
        <v>19</v>
      </c>
      <c r="AD24" s="3">
        <f>(8.2*(Table1_34[[#This Row],[Sample Description]]-2)+66.2)</f>
        <v>205.59999999999997</v>
      </c>
      <c r="AE24" s="3">
        <f>(1.47*(Table1_34[[#This Row],[Sample Description]]-2)+11.77)</f>
        <v>36.76</v>
      </c>
      <c r="AF24" s="3"/>
      <c r="AJ24" s="3"/>
      <c r="AK24" s="3">
        <v>19</v>
      </c>
      <c r="AL24" s="3" t="s">
        <v>9</v>
      </c>
      <c r="AM24" s="3" t="s">
        <v>9</v>
      </c>
      <c r="AN24" s="3"/>
      <c r="AT24" s="16"/>
      <c r="AU24" s="5"/>
      <c r="AV24" s="5"/>
      <c r="AW24" s="5"/>
      <c r="AX24" s="16"/>
    </row>
    <row r="25" spans="2:50" ht="15.75">
      <c r="B25" s="16"/>
      <c r="C25" s="5"/>
      <c r="D25" s="5"/>
      <c r="E25" s="5"/>
      <c r="F25" s="16"/>
      <c r="L25" s="3"/>
      <c r="M25" s="3">
        <v>20</v>
      </c>
      <c r="N25" s="3">
        <f>-1.5*(Table1[[#This Row],[Sample Description]]-1)+90</f>
        <v>61.5</v>
      </c>
      <c r="O25" s="3">
        <f>(-0.27*(Table1[[#This Row],[Sample Description]]-1)+16)</f>
        <v>10.87</v>
      </c>
      <c r="P25" s="3"/>
      <c r="T25" s="3"/>
      <c r="U25" s="3">
        <v>20</v>
      </c>
      <c r="V25" s="3">
        <f>(-21.1*(Table1_3[[#This Row],[Sample Description]]-1)+122.6)</f>
        <v>-278.30000000000007</v>
      </c>
      <c r="W25" s="3">
        <f>(-3.76*(Table1_3[[#This Row],[Sample Description]]-1)+21.8)</f>
        <v>-49.64</v>
      </c>
      <c r="X25" s="3"/>
      <c r="AB25" s="3"/>
      <c r="AC25" s="3">
        <v>20</v>
      </c>
      <c r="AD25" s="3">
        <f>(8.2*(Table1_34[[#This Row],[Sample Description]]-2)+66.2)</f>
        <v>213.8</v>
      </c>
      <c r="AE25" s="3">
        <f>(1.47*(Table1_34[[#This Row],[Sample Description]]-2)+11.77)</f>
        <v>38.230000000000004</v>
      </c>
      <c r="AF25" s="3"/>
      <c r="AJ25" s="3"/>
      <c r="AK25" s="3">
        <v>20</v>
      </c>
      <c r="AL25" s="3" t="s">
        <v>9</v>
      </c>
      <c r="AM25" s="3" t="s">
        <v>9</v>
      </c>
      <c r="AN25" s="3"/>
      <c r="AT25" s="16"/>
      <c r="AU25" s="5"/>
      <c r="AV25" s="5"/>
      <c r="AW25" s="5"/>
      <c r="AX25" s="16"/>
    </row>
    <row r="26" spans="2:50" ht="15.75" customHeight="1">
      <c r="B26" s="16"/>
      <c r="C26" s="5"/>
      <c r="D26" s="5"/>
      <c r="E26" s="5"/>
      <c r="F26" s="16"/>
      <c r="L26" s="3"/>
      <c r="M26" s="3">
        <v>1</v>
      </c>
      <c r="N26" s="3">
        <v>47.5</v>
      </c>
      <c r="O26" s="3">
        <v>8.44</v>
      </c>
      <c r="P26" s="3"/>
      <c r="T26" s="3"/>
      <c r="U26" s="5">
        <v>1</v>
      </c>
      <c r="V26" s="5">
        <v>75.400000000000006</v>
      </c>
      <c r="W26" s="5">
        <v>13.4</v>
      </c>
      <c r="X26" s="5"/>
      <c r="AB26" s="3"/>
      <c r="AC26" s="3">
        <v>1</v>
      </c>
      <c r="AD26" s="5">
        <v>90.9</v>
      </c>
      <c r="AE26" s="5">
        <v>16.16</v>
      </c>
      <c r="AF26" s="3"/>
      <c r="AJ26" s="3"/>
      <c r="AK26" s="3">
        <v>1</v>
      </c>
      <c r="AL26" s="3" t="s">
        <v>9</v>
      </c>
      <c r="AM26" s="3" t="s">
        <v>9</v>
      </c>
      <c r="AN26" s="3"/>
      <c r="AT26" s="16"/>
      <c r="AU26" s="5"/>
      <c r="AV26" s="5"/>
      <c r="AW26" s="5"/>
      <c r="AX26" s="16"/>
    </row>
    <row r="27" spans="2:50" ht="15.75">
      <c r="B27" s="16"/>
      <c r="C27" s="5"/>
      <c r="D27" s="5"/>
      <c r="E27" s="5"/>
      <c r="F27" s="16"/>
      <c r="L27" s="3"/>
      <c r="M27" s="3">
        <v>2</v>
      </c>
      <c r="N27" s="3">
        <v>77.2</v>
      </c>
      <c r="O27" s="3">
        <v>13.72</v>
      </c>
      <c r="P27" s="3"/>
      <c r="T27" s="3"/>
      <c r="U27" s="5">
        <v>2</v>
      </c>
      <c r="V27" s="5">
        <v>91.8</v>
      </c>
      <c r="W27" s="5">
        <v>16.32</v>
      </c>
      <c r="X27" s="5"/>
      <c r="AB27" s="3"/>
      <c r="AC27" s="3">
        <v>2</v>
      </c>
      <c r="AD27" s="5">
        <v>83.9</v>
      </c>
      <c r="AE27" s="5">
        <v>14.92</v>
      </c>
      <c r="AF27" s="3"/>
      <c r="AJ27" s="3"/>
      <c r="AK27" s="3">
        <v>2</v>
      </c>
      <c r="AL27" s="3" t="s">
        <v>9</v>
      </c>
      <c r="AM27" s="3" t="s">
        <v>9</v>
      </c>
      <c r="AN27" s="3"/>
      <c r="AT27" s="16"/>
      <c r="AU27" s="5"/>
      <c r="AV27" s="5"/>
      <c r="AW27" s="5"/>
      <c r="AX27" s="16"/>
    </row>
    <row r="28" spans="2:50" ht="15.75">
      <c r="B28" s="16"/>
      <c r="C28" s="5"/>
      <c r="D28" s="5"/>
      <c r="E28" s="5"/>
      <c r="F28" s="16"/>
      <c r="L28" s="3"/>
      <c r="M28" s="3">
        <v>3</v>
      </c>
      <c r="N28" s="3">
        <v>52.9</v>
      </c>
      <c r="O28" s="3">
        <v>9.4</v>
      </c>
      <c r="P28" s="3"/>
      <c r="T28" s="3"/>
      <c r="U28" s="5">
        <v>3</v>
      </c>
      <c r="V28" s="5">
        <v>80.099999999999994</v>
      </c>
      <c r="W28" s="5">
        <v>14.24</v>
      </c>
      <c r="X28" s="5"/>
      <c r="AB28" s="3"/>
      <c r="AC28" s="3">
        <v>3</v>
      </c>
      <c r="AD28" s="5">
        <v>81.3</v>
      </c>
      <c r="AE28" s="5">
        <v>14.45</v>
      </c>
      <c r="AF28" s="3"/>
      <c r="AJ28" s="3"/>
      <c r="AK28" s="3">
        <v>3</v>
      </c>
      <c r="AL28" s="3" t="s">
        <v>9</v>
      </c>
      <c r="AM28" s="3" t="s">
        <v>9</v>
      </c>
      <c r="AN28" s="3"/>
      <c r="AT28" s="16"/>
      <c r="AU28" s="5"/>
      <c r="AV28" s="5"/>
      <c r="AW28" s="5"/>
      <c r="AX28" s="16"/>
    </row>
    <row r="29" spans="2:50" ht="15.75">
      <c r="B29" s="16"/>
      <c r="C29" s="5"/>
      <c r="D29" s="5"/>
      <c r="E29" s="5"/>
      <c r="F29" s="16"/>
      <c r="L29" s="3"/>
      <c r="M29" s="3">
        <v>4</v>
      </c>
      <c r="N29" s="3">
        <f>(2.7*(Table1[[#This Row],[Sample Description]]-1)+47.5)</f>
        <v>55.6</v>
      </c>
      <c r="O29" s="3">
        <f>(0.48*(Table1[[#This Row],[Sample Description]]-1)+8.44)</f>
        <v>9.879999999999999</v>
      </c>
      <c r="P29" s="3"/>
      <c r="T29" s="3"/>
      <c r="U29" s="3">
        <v>4</v>
      </c>
      <c r="V29" s="3">
        <f>(2.35*(Table1_3[[#This Row],[Sample Description]]-1)+75.4)</f>
        <v>82.45</v>
      </c>
      <c r="W29" s="3">
        <f>(0.42*(Table1_3[[#This Row],[Sample Description]]-1)+13.4)</f>
        <v>14.66</v>
      </c>
      <c r="X29" s="3"/>
      <c r="AB29" s="3"/>
      <c r="AC29" s="3">
        <v>4</v>
      </c>
      <c r="AD29" s="3">
        <f>(-2.6*(Table1_34[[#This Row],[Sample Description]]-2)+83.9)</f>
        <v>78.7</v>
      </c>
      <c r="AE29" s="3">
        <f>(-0.47*(Table1_34[[#This Row],[Sample Description]]-2)+14.92)</f>
        <v>13.98</v>
      </c>
      <c r="AF29" s="3"/>
      <c r="AJ29" s="3"/>
      <c r="AK29" s="3">
        <v>4</v>
      </c>
      <c r="AL29" s="3" t="s">
        <v>9</v>
      </c>
      <c r="AM29" s="3" t="s">
        <v>9</v>
      </c>
      <c r="AN29" s="3"/>
      <c r="AT29" s="16"/>
      <c r="AU29" s="5"/>
      <c r="AV29" s="5"/>
      <c r="AW29" s="5"/>
      <c r="AX29" s="16"/>
    </row>
    <row r="30" spans="2:50" ht="15.75">
      <c r="B30" s="16"/>
      <c r="C30" s="5"/>
      <c r="D30" s="5"/>
      <c r="E30" s="5"/>
      <c r="F30" s="16"/>
      <c r="L30" s="3"/>
      <c r="M30" s="3">
        <v>5</v>
      </c>
      <c r="N30" s="3">
        <f>(2.7*(Table1[[#This Row],[Sample Description]]-1)+47.5)</f>
        <v>58.3</v>
      </c>
      <c r="O30" s="3">
        <f>(0.48*(Table1[[#This Row],[Sample Description]]-1)+8.44)</f>
        <v>10.36</v>
      </c>
      <c r="P30" s="3"/>
      <c r="T30" s="3"/>
      <c r="U30" s="3">
        <v>5</v>
      </c>
      <c r="V30" s="3">
        <f>(2.35*(Table1_3[[#This Row],[Sample Description]]-1)+75.4)</f>
        <v>84.800000000000011</v>
      </c>
      <c r="W30" s="3">
        <f>(0.42*(Table1_3[[#This Row],[Sample Description]]-1)+13.4)</f>
        <v>15.08</v>
      </c>
      <c r="X30" s="3"/>
      <c r="AB30" s="3"/>
      <c r="AC30" s="3">
        <v>5</v>
      </c>
      <c r="AD30" s="3">
        <f>(-2.6*(Table1_34[[#This Row],[Sample Description]]-2)+83.9)</f>
        <v>76.100000000000009</v>
      </c>
      <c r="AE30" s="3">
        <f>(-0.47*(Table1_34[[#This Row],[Sample Description]]-2)+14.92)</f>
        <v>13.51</v>
      </c>
      <c r="AF30" s="3"/>
      <c r="AJ30" s="3"/>
      <c r="AK30" s="3">
        <v>5</v>
      </c>
      <c r="AL30" s="3" t="s">
        <v>9</v>
      </c>
      <c r="AM30" s="3" t="s">
        <v>9</v>
      </c>
      <c r="AN30" s="3"/>
      <c r="AT30" s="16"/>
      <c r="AU30" s="5"/>
      <c r="AV30" s="5"/>
      <c r="AW30" s="5"/>
      <c r="AX30" s="16"/>
    </row>
    <row r="31" spans="2:50" ht="15.75">
      <c r="B31" s="16"/>
      <c r="C31" s="5"/>
      <c r="D31" s="5"/>
      <c r="E31" s="5"/>
      <c r="F31" s="16"/>
      <c r="L31" s="3"/>
      <c r="M31" s="3">
        <v>6</v>
      </c>
      <c r="N31" s="3">
        <f>(2.7*(Table1[[#This Row],[Sample Description]]-1)+47.5)</f>
        <v>61</v>
      </c>
      <c r="O31" s="3">
        <f>(0.48*(Table1[[#This Row],[Sample Description]]-1)+8.44)</f>
        <v>10.84</v>
      </c>
      <c r="P31" s="3"/>
      <c r="T31" s="3"/>
      <c r="U31" s="3">
        <v>6</v>
      </c>
      <c r="V31" s="3">
        <f>(2.35*(Table1_3[[#This Row],[Sample Description]]-1)+75.4)</f>
        <v>87.15</v>
      </c>
      <c r="W31" s="3">
        <f>(0.42*(Table1_3[[#This Row],[Sample Description]]-1)+13.4)</f>
        <v>15.5</v>
      </c>
      <c r="X31" s="3"/>
      <c r="AB31" s="3"/>
      <c r="AC31" s="3">
        <v>6</v>
      </c>
      <c r="AD31" s="3">
        <f>(-2.6*(Table1_34[[#This Row],[Sample Description]]-2)+83.9)</f>
        <v>73.5</v>
      </c>
      <c r="AE31" s="3">
        <f>(-0.47*(Table1_34[[#This Row],[Sample Description]]-2)+14.92)</f>
        <v>13.04</v>
      </c>
      <c r="AF31" s="3"/>
      <c r="AJ31" s="3"/>
      <c r="AK31" s="3">
        <v>6</v>
      </c>
      <c r="AL31" s="3" t="s">
        <v>9</v>
      </c>
      <c r="AM31" s="3" t="s">
        <v>9</v>
      </c>
      <c r="AN31" s="3"/>
      <c r="AT31" s="16"/>
      <c r="AU31" s="5"/>
      <c r="AV31" s="5"/>
      <c r="AW31" s="5"/>
      <c r="AX31" s="16"/>
    </row>
    <row r="32" spans="2:50" ht="15.75">
      <c r="B32" s="16"/>
      <c r="C32" s="5"/>
      <c r="D32" s="5"/>
      <c r="E32" s="5"/>
      <c r="F32" s="16"/>
      <c r="M32" s="8">
        <v>7</v>
      </c>
      <c r="N32" s="3">
        <f>(2.7*(Table1[[#This Row],[Sample Description]]-1)+47.5)</f>
        <v>63.7</v>
      </c>
      <c r="O32" s="3">
        <f>(0.48*(Table1[[#This Row],[Sample Description]]-1)+8.44)</f>
        <v>11.32</v>
      </c>
      <c r="U32" s="8">
        <v>7</v>
      </c>
      <c r="V32" s="3">
        <f>(2.35*(Table1_3[[#This Row],[Sample Description]]-1)+75.4)</f>
        <v>89.5</v>
      </c>
      <c r="W32" s="3">
        <f>(0.42*(Table1_3[[#This Row],[Sample Description]]-1)+13.4)</f>
        <v>15.92</v>
      </c>
      <c r="AC32" s="8">
        <v>7</v>
      </c>
      <c r="AD32" s="3">
        <f>(-2.6*(Table1_34[[#This Row],[Sample Description]]-2)+83.9)</f>
        <v>70.900000000000006</v>
      </c>
      <c r="AE32" s="3">
        <f>(-0.47*(Table1_34[[#This Row],[Sample Description]]-2)+14.92)</f>
        <v>12.57</v>
      </c>
      <c r="AK32" s="8">
        <v>7</v>
      </c>
      <c r="AL32" s="3" t="s">
        <v>9</v>
      </c>
      <c r="AM32" s="3" t="s">
        <v>9</v>
      </c>
      <c r="AT32" s="16"/>
      <c r="AU32" s="5"/>
      <c r="AV32" s="5"/>
      <c r="AW32" s="5"/>
      <c r="AX32" s="16"/>
    </row>
    <row r="33" spans="2:50" ht="15.75">
      <c r="B33" s="16"/>
      <c r="C33" s="5"/>
      <c r="D33" s="5"/>
      <c r="E33" s="5"/>
      <c r="F33" s="16"/>
      <c r="M33" s="8">
        <v>8</v>
      </c>
      <c r="N33" s="3">
        <f>(2.7*(Table1[[#This Row],[Sample Description]]-1)+47.5)</f>
        <v>66.400000000000006</v>
      </c>
      <c r="O33" s="3">
        <f>(0.48*(Table1[[#This Row],[Sample Description]]-1)+8.44)</f>
        <v>11.799999999999999</v>
      </c>
      <c r="U33" s="8">
        <v>8</v>
      </c>
      <c r="V33" s="3">
        <f>(2.35*(Table1_3[[#This Row],[Sample Description]]-1)+75.4)</f>
        <v>91.850000000000009</v>
      </c>
      <c r="W33" s="3">
        <f>(0.42*(Table1_3[[#This Row],[Sample Description]]-1)+13.4)</f>
        <v>16.34</v>
      </c>
      <c r="AC33" s="8">
        <v>8</v>
      </c>
      <c r="AD33" s="3">
        <f>(-2.6*(Table1_34[[#This Row],[Sample Description]]-2)+83.9)</f>
        <v>68.300000000000011</v>
      </c>
      <c r="AE33" s="3">
        <f>(-0.47*(Table1_34[[#This Row],[Sample Description]]-2)+14.92)</f>
        <v>12.1</v>
      </c>
      <c r="AK33" s="8">
        <v>8</v>
      </c>
      <c r="AL33" s="3" t="s">
        <v>9</v>
      </c>
      <c r="AM33" s="3" t="s">
        <v>9</v>
      </c>
      <c r="AT33" s="16"/>
      <c r="AU33" s="5"/>
      <c r="AV33" s="5"/>
      <c r="AW33" s="5"/>
      <c r="AX33" s="16"/>
    </row>
    <row r="34" spans="2:50" ht="15.75">
      <c r="B34" s="16"/>
      <c r="C34" s="5"/>
      <c r="D34" s="5"/>
      <c r="E34" s="5"/>
      <c r="F34" s="16"/>
      <c r="M34" s="8">
        <v>9</v>
      </c>
      <c r="N34" s="3">
        <f>(2.7*(Table1[[#This Row],[Sample Description]]-1)+47.5)</f>
        <v>69.099999999999994</v>
      </c>
      <c r="O34" s="3">
        <f>(0.48*(Table1[[#This Row],[Sample Description]]-1)+8.44)</f>
        <v>12.28</v>
      </c>
      <c r="U34" s="8">
        <v>9</v>
      </c>
      <c r="V34" s="3">
        <f>(2.35*(Table1_3[[#This Row],[Sample Description]]-1)+75.4)</f>
        <v>94.2</v>
      </c>
      <c r="W34" s="3">
        <f>(0.42*(Table1_3[[#This Row],[Sample Description]]-1)+13.4)</f>
        <v>16.760000000000002</v>
      </c>
      <c r="AC34" s="8">
        <v>9</v>
      </c>
      <c r="AD34" s="3">
        <f>(-2.6*(Table1_34[[#This Row],[Sample Description]]-2)+83.9)</f>
        <v>65.7</v>
      </c>
      <c r="AE34" s="3">
        <f>(-0.47*(Table1_34[[#This Row],[Sample Description]]-2)+14.92)</f>
        <v>11.629999999999999</v>
      </c>
      <c r="AK34" s="8">
        <v>9</v>
      </c>
      <c r="AL34" s="3" t="s">
        <v>9</v>
      </c>
      <c r="AM34" s="3" t="s">
        <v>9</v>
      </c>
      <c r="AT34" s="16"/>
      <c r="AU34" s="5"/>
      <c r="AV34" s="5"/>
      <c r="AW34" s="5"/>
      <c r="AX34" s="16"/>
    </row>
    <row r="35" spans="2:50" ht="15.75">
      <c r="B35" s="16"/>
      <c r="C35" s="5"/>
      <c r="D35" s="5"/>
      <c r="E35" s="5"/>
      <c r="F35" s="16"/>
      <c r="L35" t="s">
        <v>11</v>
      </c>
      <c r="M35" s="8">
        <v>10</v>
      </c>
      <c r="N35" s="3">
        <f>(2.7*(Table1[[#This Row],[Sample Description]]-1)+47.5)</f>
        <v>71.8</v>
      </c>
      <c r="O35" s="3">
        <f>(0.48*(Table1[[#This Row],[Sample Description]]-1)+8.44)</f>
        <v>12.76</v>
      </c>
      <c r="P35">
        <f>(O26+O27+O28+O29+O30+O31+O32+O33+O34+Table1[[#This Row],[Strength(N/mm2)]]+O36+O37+O38+O39+O40+O41+O42+O43+O44+O45)/20</f>
        <v>13.239999999999998</v>
      </c>
      <c r="T35" t="s">
        <v>11</v>
      </c>
      <c r="U35" s="8">
        <v>10</v>
      </c>
      <c r="V35" s="3">
        <f>(2.35*(Table1_3[[#This Row],[Sample Description]]-1)+75.4)</f>
        <v>96.550000000000011</v>
      </c>
      <c r="W35" s="3">
        <f>(0.42*(Table1_3[[#This Row],[Sample Description]]-1)+13.4)</f>
        <v>17.18</v>
      </c>
      <c r="X35">
        <f>(SUM(W26:W45)/20)</f>
        <v>17.515000000000001</v>
      </c>
      <c r="AB35" t="s">
        <v>11</v>
      </c>
      <c r="AC35" s="8">
        <v>10</v>
      </c>
      <c r="AD35" s="3">
        <f>(-2.6*(Table1_34[[#This Row],[Sample Description]]-2)+83.9)</f>
        <v>63.100000000000009</v>
      </c>
      <c r="AE35" s="3">
        <f>(-0.47*(Table1_34[[#This Row],[Sample Description]]-2)+14.92)</f>
        <v>11.16</v>
      </c>
      <c r="AF35">
        <f>(SUM(AE26:AE45)/20)</f>
        <v>10.9635</v>
      </c>
      <c r="AJ35" t="s">
        <v>11</v>
      </c>
      <c r="AK35" s="8">
        <v>10</v>
      </c>
      <c r="AL35" s="3" t="s">
        <v>9</v>
      </c>
      <c r="AM35" s="3" t="s">
        <v>9</v>
      </c>
      <c r="AN35" s="11" t="s">
        <v>9</v>
      </c>
      <c r="AT35" s="16"/>
      <c r="AU35" s="5"/>
      <c r="AV35" s="5"/>
      <c r="AW35" s="5"/>
      <c r="AX35" s="16"/>
    </row>
    <row r="36" spans="2:50" ht="15.75">
      <c r="B36" s="16"/>
      <c r="C36" s="5"/>
      <c r="D36" s="5"/>
      <c r="E36" s="5"/>
      <c r="F36" s="16"/>
      <c r="G36" s="6"/>
      <c r="H36" s="6"/>
      <c r="I36" s="9"/>
      <c r="M36" s="8">
        <v>11</v>
      </c>
      <c r="N36" s="3">
        <f>(2.7*(Table1[[#This Row],[Sample Description]]-1)+47.5)</f>
        <v>74.5</v>
      </c>
      <c r="O36" s="3">
        <f>(0.48*(Table1[[#This Row],[Sample Description]]-1)+8.44)</f>
        <v>13.239999999999998</v>
      </c>
      <c r="U36" s="8">
        <v>11</v>
      </c>
      <c r="V36" s="3">
        <f>(2.35*(Table1_3[[#This Row],[Sample Description]]-1)+75.4)</f>
        <v>98.9</v>
      </c>
      <c r="W36" s="3">
        <f>(0.42*(Table1_3[[#This Row],[Sample Description]]-1)+13.4)</f>
        <v>17.600000000000001</v>
      </c>
      <c r="AC36" s="8">
        <v>11</v>
      </c>
      <c r="AD36" s="3">
        <f>(-2.6*(Table1_34[[#This Row],[Sample Description]]-2)+83.9)</f>
        <v>60.5</v>
      </c>
      <c r="AE36" s="3">
        <f>(-0.47*(Table1_34[[#This Row],[Sample Description]]-2)+14.92)</f>
        <v>10.690000000000001</v>
      </c>
      <c r="AK36" s="8">
        <v>11</v>
      </c>
      <c r="AL36" s="3" t="s">
        <v>9</v>
      </c>
      <c r="AM36" s="3" t="s">
        <v>9</v>
      </c>
      <c r="AT36" s="16"/>
      <c r="AU36" s="5"/>
      <c r="AV36" s="5"/>
      <c r="AW36" s="5"/>
      <c r="AX36" s="16"/>
    </row>
    <row r="37" spans="2:50" ht="15.75">
      <c r="B37" s="16"/>
      <c r="C37" s="7"/>
      <c r="D37" s="7"/>
      <c r="E37" s="7"/>
      <c r="F37" s="16"/>
      <c r="M37" s="8">
        <v>12</v>
      </c>
      <c r="N37" s="3">
        <f>(2.7*(Table1[[#This Row],[Sample Description]]-1)+47.5)</f>
        <v>77.2</v>
      </c>
      <c r="O37" s="3">
        <f>(0.48*(Table1[[#This Row],[Sample Description]]-1)+8.44)</f>
        <v>13.719999999999999</v>
      </c>
      <c r="U37" s="8">
        <v>12</v>
      </c>
      <c r="V37" s="3">
        <f>(2.35*(Table1_3[[#This Row],[Sample Description]]-1)+75.4)</f>
        <v>101.25</v>
      </c>
      <c r="W37" s="3">
        <f>(0.42*(Table1_3[[#This Row],[Sample Description]]-1)+13.4)</f>
        <v>18.02</v>
      </c>
      <c r="AC37" s="8">
        <v>12</v>
      </c>
      <c r="AD37" s="3">
        <f>(-2.6*(Table1_34[[#This Row],[Sample Description]]-2)+83.9)</f>
        <v>57.900000000000006</v>
      </c>
      <c r="AE37" s="3">
        <f>(-0.47*(Table1_34[[#This Row],[Sample Description]]-2)+14.92)</f>
        <v>10.220000000000001</v>
      </c>
      <c r="AK37" s="8">
        <v>12</v>
      </c>
      <c r="AL37" s="3" t="s">
        <v>9</v>
      </c>
      <c r="AM37" s="3" t="s">
        <v>9</v>
      </c>
      <c r="AT37" s="16"/>
      <c r="AU37" s="7"/>
      <c r="AV37" s="7"/>
      <c r="AW37" s="7"/>
      <c r="AX37" s="16"/>
    </row>
    <row r="38" spans="2:50" ht="15.75">
      <c r="M38" s="8">
        <v>13</v>
      </c>
      <c r="N38" s="3">
        <f>(2.7*(Table1[[#This Row],[Sample Description]]-1)+47.5)</f>
        <v>79.900000000000006</v>
      </c>
      <c r="O38" s="3">
        <f>(0.48*(Table1[[#This Row],[Sample Description]]-1)+8.44)</f>
        <v>14.2</v>
      </c>
      <c r="U38" s="8">
        <v>13</v>
      </c>
      <c r="V38" s="3">
        <f>(2.35*(Table1_3[[#This Row],[Sample Description]]-1)+75.4)</f>
        <v>103.60000000000001</v>
      </c>
      <c r="W38" s="3">
        <f>(0.42*(Table1_3[[#This Row],[Sample Description]]-1)+13.4)</f>
        <v>18.440000000000001</v>
      </c>
      <c r="AC38" s="8">
        <v>13</v>
      </c>
      <c r="AD38" s="3">
        <f>(-2.6*(Table1_34[[#This Row],[Sample Description]]-2)+83.9)</f>
        <v>55.300000000000004</v>
      </c>
      <c r="AE38" s="3">
        <f>(-0.47*(Table1_34[[#This Row],[Sample Description]]-2)+14.92)</f>
        <v>9.75</v>
      </c>
      <c r="AK38" s="8">
        <v>13</v>
      </c>
      <c r="AL38" s="3" t="s">
        <v>9</v>
      </c>
      <c r="AM38" s="3" t="s">
        <v>9</v>
      </c>
    </row>
    <row r="39" spans="2:50" ht="15.75">
      <c r="M39" s="8">
        <v>14</v>
      </c>
      <c r="N39" s="3">
        <f>(2.7*(Table1[[#This Row],[Sample Description]]-1)+47.5)</f>
        <v>82.6</v>
      </c>
      <c r="O39" s="3">
        <f>(0.48*(Table1[[#This Row],[Sample Description]]-1)+8.44)</f>
        <v>14.68</v>
      </c>
      <c r="U39" s="8">
        <v>14</v>
      </c>
      <c r="V39" s="3">
        <f>(2.35*(Table1_3[[#This Row],[Sample Description]]-1)+75.4)</f>
        <v>105.95</v>
      </c>
      <c r="W39" s="3">
        <f>(0.42*(Table1_3[[#This Row],[Sample Description]]-1)+13.4)</f>
        <v>18.86</v>
      </c>
      <c r="AC39" s="8">
        <v>14</v>
      </c>
      <c r="AD39" s="3">
        <f>(-2.6*(Table1_34[[#This Row],[Sample Description]]-2)+83.9)</f>
        <v>52.7</v>
      </c>
      <c r="AE39" s="3">
        <f>(-0.47*(Table1_34[[#This Row],[Sample Description]]-2)+14.92)</f>
        <v>9.2800000000000011</v>
      </c>
      <c r="AK39" s="8">
        <v>14</v>
      </c>
      <c r="AL39" s="3" t="s">
        <v>9</v>
      </c>
      <c r="AM39" s="3" t="s">
        <v>9</v>
      </c>
    </row>
    <row r="40" spans="2:50" ht="15.75">
      <c r="M40" s="8">
        <v>15</v>
      </c>
      <c r="N40" s="3">
        <f>(2.7*(Table1[[#This Row],[Sample Description]]-1)+47.5)</f>
        <v>85.300000000000011</v>
      </c>
      <c r="O40" s="3">
        <f>(0.48*(Table1[[#This Row],[Sample Description]]-1)+8.44)</f>
        <v>15.16</v>
      </c>
      <c r="U40" s="8">
        <v>15</v>
      </c>
      <c r="V40" s="3">
        <f>(2.35*(Table1_3[[#This Row],[Sample Description]]-1)+75.4)</f>
        <v>108.30000000000001</v>
      </c>
      <c r="W40" s="3">
        <f>(0.42*(Table1_3[[#This Row],[Sample Description]]-1)+13.4)</f>
        <v>19.28</v>
      </c>
      <c r="AC40" s="8">
        <v>15</v>
      </c>
      <c r="AD40" s="3">
        <f>(-2.6*(Table1_34[[#This Row],[Sample Description]]-2)+83.9)</f>
        <v>50.1</v>
      </c>
      <c r="AE40" s="3">
        <f>(-0.47*(Table1_34[[#This Row],[Sample Description]]-2)+14.92)</f>
        <v>8.81</v>
      </c>
      <c r="AK40" s="8">
        <v>15</v>
      </c>
      <c r="AL40" s="3" t="s">
        <v>9</v>
      </c>
      <c r="AM40" s="3" t="s">
        <v>9</v>
      </c>
    </row>
    <row r="41" spans="2:50" ht="15.75">
      <c r="M41" s="8">
        <v>16</v>
      </c>
      <c r="N41" s="3">
        <f>(2.7*(Table1[[#This Row],[Sample Description]]-1)+47.5)</f>
        <v>88</v>
      </c>
      <c r="O41" s="3">
        <f>(0.48*(Table1[[#This Row],[Sample Description]]-1)+8.44)</f>
        <v>15.639999999999999</v>
      </c>
      <c r="U41" s="8">
        <v>16</v>
      </c>
      <c r="V41" s="3">
        <f>(2.35*(Table1_3[[#This Row],[Sample Description]]-1)+75.4)</f>
        <v>110.65</v>
      </c>
      <c r="W41" s="3">
        <f>(0.42*(Table1_3[[#This Row],[Sample Description]]-1)+13.4)</f>
        <v>19.7</v>
      </c>
      <c r="AC41" s="8">
        <v>16</v>
      </c>
      <c r="AD41" s="3">
        <f>(-2.6*(Table1_34[[#This Row],[Sample Description]]-2)+83.9)</f>
        <v>47.500000000000007</v>
      </c>
      <c r="AE41" s="3">
        <f>(-0.47*(Table1_34[[#This Row],[Sample Description]]-2)+14.92)</f>
        <v>8.34</v>
      </c>
      <c r="AK41" s="8">
        <v>16</v>
      </c>
      <c r="AL41" s="3" t="s">
        <v>9</v>
      </c>
      <c r="AM41" s="3" t="s">
        <v>9</v>
      </c>
    </row>
    <row r="42" spans="2:50" ht="15.75">
      <c r="M42" s="8">
        <v>17</v>
      </c>
      <c r="N42" s="3">
        <f>(2.7*(Table1[[#This Row],[Sample Description]]-1)+47.5)</f>
        <v>90.7</v>
      </c>
      <c r="O42" s="3">
        <f>(0.48*(Table1[[#This Row],[Sample Description]]-1)+8.44)</f>
        <v>16.119999999999997</v>
      </c>
      <c r="U42" s="8">
        <v>17</v>
      </c>
      <c r="V42" s="3">
        <f>(2.35*(Table1_3[[#This Row],[Sample Description]]-1)+75.4)</f>
        <v>113</v>
      </c>
      <c r="W42" s="3">
        <f>(0.42*(Table1_3[[#This Row],[Sample Description]]-1)+13.4)</f>
        <v>20.12</v>
      </c>
      <c r="AC42" s="8">
        <v>17</v>
      </c>
      <c r="AD42" s="3">
        <f>(-2.6*(Table1_34[[#This Row],[Sample Description]]-2)+83.9)</f>
        <v>44.900000000000006</v>
      </c>
      <c r="AE42" s="3">
        <f>(-0.47*(Table1_34[[#This Row],[Sample Description]]-2)+14.92)</f>
        <v>7.87</v>
      </c>
      <c r="AK42" s="8">
        <v>17</v>
      </c>
      <c r="AL42" s="3" t="s">
        <v>9</v>
      </c>
      <c r="AM42" s="3" t="s">
        <v>9</v>
      </c>
    </row>
    <row r="43" spans="2:50" ht="15.75">
      <c r="M43" s="8">
        <v>18</v>
      </c>
      <c r="N43" s="3">
        <f>(2.7*(Table1[[#This Row],[Sample Description]]-1)+47.5)</f>
        <v>93.4</v>
      </c>
      <c r="O43" s="3">
        <f>(0.48*(Table1[[#This Row],[Sample Description]]-1)+8.44)</f>
        <v>16.600000000000001</v>
      </c>
      <c r="U43" s="8">
        <v>18</v>
      </c>
      <c r="V43" s="3">
        <f>(2.35*(Table1_3[[#This Row],[Sample Description]]-1)+75.4)</f>
        <v>115.35000000000001</v>
      </c>
      <c r="W43" s="3">
        <f>(0.42*(Table1_3[[#This Row],[Sample Description]]-1)+13.4)</f>
        <v>20.54</v>
      </c>
      <c r="AC43" s="8">
        <v>18</v>
      </c>
      <c r="AD43" s="3">
        <f>(-2.6*(Table1_34[[#This Row],[Sample Description]]-2)+83.9)</f>
        <v>42.300000000000004</v>
      </c>
      <c r="AE43" s="3">
        <f>(-0.47*(Table1_34[[#This Row],[Sample Description]]-2)+14.92)</f>
        <v>7.4</v>
      </c>
      <c r="AK43" s="8">
        <v>18</v>
      </c>
      <c r="AL43" s="3" t="s">
        <v>9</v>
      </c>
      <c r="AM43" s="3" t="s">
        <v>9</v>
      </c>
    </row>
    <row r="44" spans="2:50" ht="15.75">
      <c r="M44" s="8">
        <v>19</v>
      </c>
      <c r="N44" s="3">
        <f>(2.7*(Table1[[#This Row],[Sample Description]]-1)+47.5)</f>
        <v>96.1</v>
      </c>
      <c r="O44" s="3">
        <f>(0.48*(Table1[[#This Row],[Sample Description]]-1)+8.44)</f>
        <v>17.079999999999998</v>
      </c>
      <c r="U44" s="8">
        <v>19</v>
      </c>
      <c r="V44" s="3">
        <f>(2.35*(Table1_3[[#This Row],[Sample Description]]-1)+75.4)</f>
        <v>117.70000000000002</v>
      </c>
      <c r="W44" s="3">
        <f>(0.42*(Table1_3[[#This Row],[Sample Description]]-1)+13.4)</f>
        <v>20.96</v>
      </c>
      <c r="AC44" s="8">
        <v>19</v>
      </c>
      <c r="AD44" s="3">
        <f>(-2.6*(Table1_34[[#This Row],[Sample Description]]-2)+83.9)</f>
        <v>39.700000000000003</v>
      </c>
      <c r="AE44" s="3">
        <f>(-0.47*(Table1_34[[#This Row],[Sample Description]]-2)+14.92)</f>
        <v>6.9300000000000006</v>
      </c>
      <c r="AK44" s="8">
        <v>19</v>
      </c>
      <c r="AL44" s="3" t="s">
        <v>9</v>
      </c>
      <c r="AM44" s="3" t="s">
        <v>9</v>
      </c>
    </row>
    <row r="45" spans="2:50" ht="15.75">
      <c r="M45" s="8">
        <v>20</v>
      </c>
      <c r="N45" s="3">
        <f>(2.7*(Table1[[#This Row],[Sample Description]]-1)+47.5)</f>
        <v>98.800000000000011</v>
      </c>
      <c r="O45" s="3">
        <f>(0.48*(Table1[[#This Row],[Sample Description]]-1)+8.44)</f>
        <v>17.559999999999999</v>
      </c>
      <c r="U45" s="8">
        <v>20</v>
      </c>
      <c r="V45" s="3">
        <f>(2.35*(Table1_3[[#This Row],[Sample Description]]-1)+75.4)</f>
        <v>120.05000000000001</v>
      </c>
      <c r="W45" s="3">
        <f>(0.42*(Table1_3[[#This Row],[Sample Description]]-1)+13.4)</f>
        <v>21.38</v>
      </c>
      <c r="AC45" s="8">
        <v>20</v>
      </c>
      <c r="AD45" s="3">
        <f>(-2.6*(Table1_34[[#This Row],[Sample Description]]-2)+83.9)</f>
        <v>37.1</v>
      </c>
      <c r="AE45" s="3">
        <f>(-0.47*(Table1_34[[#This Row],[Sample Description]]-2)+14.92)</f>
        <v>6.4600000000000009</v>
      </c>
      <c r="AK45" s="8">
        <v>20</v>
      </c>
      <c r="AL45" s="3" t="s">
        <v>9</v>
      </c>
      <c r="AM45" s="3" t="s">
        <v>9</v>
      </c>
    </row>
    <row r="46" spans="2:50" ht="15.75">
      <c r="L46" s="3"/>
      <c r="M46" s="3">
        <v>1</v>
      </c>
      <c r="N46" s="3">
        <v>47.5</v>
      </c>
      <c r="O46" s="3">
        <v>8.44</v>
      </c>
      <c r="P46" s="3"/>
      <c r="T46" s="3"/>
      <c r="U46" s="5">
        <v>1</v>
      </c>
      <c r="V46" s="5">
        <v>83.4</v>
      </c>
      <c r="W46" s="5">
        <v>14.83</v>
      </c>
      <c r="X46" s="5"/>
      <c r="AB46" s="3"/>
      <c r="AC46" s="3">
        <v>1</v>
      </c>
      <c r="AD46" s="5">
        <v>61.2</v>
      </c>
      <c r="AE46" s="5">
        <v>10.88</v>
      </c>
      <c r="AF46" s="3"/>
      <c r="AJ46" s="3"/>
      <c r="AK46" s="3">
        <v>1</v>
      </c>
      <c r="AL46" s="3" t="s">
        <v>9</v>
      </c>
      <c r="AM46" s="3" t="s">
        <v>9</v>
      </c>
      <c r="AN46" s="3"/>
    </row>
    <row r="47" spans="2:50" ht="15.75">
      <c r="L47" s="3"/>
      <c r="M47" s="3">
        <v>2</v>
      </c>
      <c r="N47" s="3">
        <v>57.1</v>
      </c>
      <c r="O47" s="3">
        <v>10.15</v>
      </c>
      <c r="P47" s="3"/>
      <c r="T47" s="3"/>
      <c r="U47" s="5">
        <v>2</v>
      </c>
      <c r="V47" s="5">
        <v>74.7</v>
      </c>
      <c r="W47" s="5">
        <v>13.28</v>
      </c>
      <c r="X47" s="5"/>
      <c r="AB47" s="3"/>
      <c r="AC47" s="3">
        <v>2</v>
      </c>
      <c r="AD47" s="5">
        <v>58.9</v>
      </c>
      <c r="AE47" s="5">
        <v>10.47</v>
      </c>
      <c r="AF47" s="3"/>
      <c r="AJ47" s="3"/>
      <c r="AK47" s="3">
        <v>2</v>
      </c>
      <c r="AL47" s="3" t="s">
        <v>9</v>
      </c>
      <c r="AM47" s="3" t="s">
        <v>9</v>
      </c>
      <c r="AN47" s="3"/>
    </row>
    <row r="48" spans="2:50" ht="15.75">
      <c r="L48" s="3"/>
      <c r="M48" s="3">
        <v>3</v>
      </c>
      <c r="N48" s="3">
        <v>72.7</v>
      </c>
      <c r="O48" s="3">
        <v>12.92</v>
      </c>
      <c r="P48" s="3"/>
      <c r="T48" s="3"/>
      <c r="U48" s="5">
        <v>3</v>
      </c>
      <c r="V48" s="5">
        <v>75.599999999999994</v>
      </c>
      <c r="W48" s="5">
        <v>13.44</v>
      </c>
      <c r="X48" s="5"/>
      <c r="AB48" s="3"/>
      <c r="AC48" s="3">
        <v>3</v>
      </c>
      <c r="AD48" s="5">
        <v>77.599999999999994</v>
      </c>
      <c r="AE48" s="5">
        <v>13.8</v>
      </c>
      <c r="AF48" s="3"/>
      <c r="AJ48" s="3"/>
      <c r="AK48" s="3">
        <v>3</v>
      </c>
      <c r="AL48" s="3" t="s">
        <v>9</v>
      </c>
      <c r="AM48" s="3" t="s">
        <v>9</v>
      </c>
      <c r="AN48" s="3"/>
    </row>
    <row r="49" spans="12:40" ht="15.75">
      <c r="M49" s="8">
        <f>M48+1</f>
        <v>4</v>
      </c>
      <c r="N49" s="10">
        <f>(9.6*(Table1[[#This Row],[Sample Description]]-1)+47.5)</f>
        <v>76.3</v>
      </c>
      <c r="O49" s="10">
        <f>(1.71*(Table1[[#This Row],[Sample Description]]-1)+8.44)</f>
        <v>13.57</v>
      </c>
      <c r="U49" s="8">
        <f t="shared" ref="U49:U65" si="0">U48+1</f>
        <v>4</v>
      </c>
      <c r="V49" s="10">
        <f>(0.9*(Table1_3[[#This Row],[Sample Description]]-2)+74.7)</f>
        <v>76.5</v>
      </c>
      <c r="W49" s="10">
        <f>(0.16*(Table1_3[[#This Row],[Sample Description]]-2)+13.28)</f>
        <v>13.6</v>
      </c>
      <c r="AC49" s="8">
        <f t="shared" ref="AC49:AC65" si="1">AC48+1</f>
        <v>4</v>
      </c>
      <c r="AD49" s="10">
        <f>(-2.3*(Table1_34[[#This Row],[Sample Description]]-1)+61.2)</f>
        <v>54.300000000000004</v>
      </c>
      <c r="AE49" s="10">
        <f>(-0.41*(Table1_34[[#This Row],[Sample Description]]-1)+10.88)</f>
        <v>9.65</v>
      </c>
      <c r="AK49" s="8">
        <f t="shared" ref="AK49:AK65" si="2">AK48+1</f>
        <v>4</v>
      </c>
      <c r="AL49" s="3" t="s">
        <v>9</v>
      </c>
      <c r="AM49" s="3" t="s">
        <v>9</v>
      </c>
    </row>
    <row r="50" spans="12:40" ht="15.75">
      <c r="M50" s="8">
        <f t="shared" ref="M50:M65" si="3">M49+1</f>
        <v>5</v>
      </c>
      <c r="N50" s="10">
        <f>(9.6*(Table1[[#This Row],[Sample Description]]-1)+47.5)</f>
        <v>85.9</v>
      </c>
      <c r="O50" s="10">
        <f>(1.71*(Table1[[#This Row],[Sample Description]]-1)+8.44)</f>
        <v>15.28</v>
      </c>
      <c r="U50" s="8">
        <f t="shared" si="0"/>
        <v>5</v>
      </c>
      <c r="V50" s="10">
        <f>(0.9*(Table1_3[[#This Row],[Sample Description]]-2)+74.7)</f>
        <v>77.400000000000006</v>
      </c>
      <c r="W50" s="10">
        <f>(0.16*(Table1_3[[#This Row],[Sample Description]]-2)+13.28)</f>
        <v>13.76</v>
      </c>
      <c r="AC50" s="8">
        <f t="shared" si="1"/>
        <v>5</v>
      </c>
      <c r="AD50" s="10">
        <f>(-2.3*(Table1_34[[#This Row],[Sample Description]]-1)+61.2)</f>
        <v>52</v>
      </c>
      <c r="AE50" s="10">
        <f>(-0.41*(Table1_34[[#This Row],[Sample Description]]-1)+10.88)</f>
        <v>9.24</v>
      </c>
      <c r="AK50" s="8">
        <f t="shared" si="2"/>
        <v>5</v>
      </c>
      <c r="AL50" s="3" t="s">
        <v>9</v>
      </c>
      <c r="AM50" s="3" t="s">
        <v>9</v>
      </c>
    </row>
    <row r="51" spans="12:40" ht="15.75">
      <c r="M51" s="8">
        <f t="shared" si="3"/>
        <v>6</v>
      </c>
      <c r="N51" s="10">
        <f>(9.6*(Table1[[#This Row],[Sample Description]]-1)+47.5)</f>
        <v>95.5</v>
      </c>
      <c r="O51" s="10">
        <f>(1.71*(Table1[[#This Row],[Sample Description]]-1)+8.44)</f>
        <v>16.990000000000002</v>
      </c>
      <c r="U51" s="8">
        <f t="shared" si="0"/>
        <v>6</v>
      </c>
      <c r="V51" s="10">
        <f>(0.9*(Table1_3[[#This Row],[Sample Description]]-2)+74.7)</f>
        <v>78.3</v>
      </c>
      <c r="W51" s="10">
        <f>(0.16*(Table1_3[[#This Row],[Sample Description]]-2)+13.28)</f>
        <v>13.92</v>
      </c>
      <c r="AC51" s="8">
        <f t="shared" si="1"/>
        <v>6</v>
      </c>
      <c r="AD51" s="10">
        <f>(-2.3*(Table1_34[[#This Row],[Sample Description]]-1)+61.2)</f>
        <v>49.7</v>
      </c>
      <c r="AE51" s="10">
        <f>(-0.41*(Table1_34[[#This Row],[Sample Description]]-1)+10.88)</f>
        <v>8.8300000000000018</v>
      </c>
      <c r="AK51" s="8">
        <f t="shared" si="2"/>
        <v>6</v>
      </c>
      <c r="AL51" s="3" t="s">
        <v>9</v>
      </c>
      <c r="AM51" s="3" t="s">
        <v>9</v>
      </c>
    </row>
    <row r="52" spans="12:40" ht="15.75">
      <c r="M52" s="8">
        <f t="shared" si="3"/>
        <v>7</v>
      </c>
      <c r="N52" s="10">
        <f>(9.6*(Table1[[#This Row],[Sample Description]]-1)+47.5)</f>
        <v>105.1</v>
      </c>
      <c r="O52" s="10">
        <f>(1.71*(Table1[[#This Row],[Sample Description]]-1)+8.44)</f>
        <v>18.7</v>
      </c>
      <c r="U52" s="8">
        <f t="shared" si="0"/>
        <v>7</v>
      </c>
      <c r="V52" s="10">
        <f>(0.9*(Table1_3[[#This Row],[Sample Description]]-2)+74.7)</f>
        <v>79.2</v>
      </c>
      <c r="W52" s="10">
        <f>(0.16*(Table1_3[[#This Row],[Sample Description]]-2)+13.28)</f>
        <v>14.08</v>
      </c>
      <c r="AC52" s="8">
        <f t="shared" si="1"/>
        <v>7</v>
      </c>
      <c r="AD52" s="10">
        <f>(-2.3*(Table1_34[[#This Row],[Sample Description]]-1)+61.2)</f>
        <v>47.400000000000006</v>
      </c>
      <c r="AE52" s="10">
        <f>(-0.41*(Table1_34[[#This Row],[Sample Description]]-1)+10.88)</f>
        <v>8.4200000000000017</v>
      </c>
      <c r="AK52" s="8">
        <f t="shared" si="2"/>
        <v>7</v>
      </c>
      <c r="AL52" s="3" t="s">
        <v>9</v>
      </c>
      <c r="AM52" s="3" t="s">
        <v>9</v>
      </c>
    </row>
    <row r="53" spans="12:40" ht="15.75">
      <c r="M53" s="8">
        <f t="shared" si="3"/>
        <v>8</v>
      </c>
      <c r="N53" s="10">
        <f>(9.6*(Table1[[#This Row],[Sample Description]]-1)+47.5)</f>
        <v>114.7</v>
      </c>
      <c r="O53" s="10">
        <f>(1.71*(Table1[[#This Row],[Sample Description]]-1)+8.44)</f>
        <v>20.409999999999997</v>
      </c>
      <c r="U53" s="8">
        <f t="shared" si="0"/>
        <v>8</v>
      </c>
      <c r="V53" s="10">
        <f>(0.9*(Table1_3[[#This Row],[Sample Description]]-2)+74.7)</f>
        <v>80.100000000000009</v>
      </c>
      <c r="W53" s="10">
        <f>(0.16*(Table1_3[[#This Row],[Sample Description]]-2)+13.28)</f>
        <v>14.239999999999998</v>
      </c>
      <c r="AC53" s="8">
        <f t="shared" si="1"/>
        <v>8</v>
      </c>
      <c r="AD53" s="10">
        <f>(-2.3*(Table1_34[[#This Row],[Sample Description]]-1)+61.2)</f>
        <v>45.100000000000009</v>
      </c>
      <c r="AE53" s="10">
        <f>(-0.41*(Table1_34[[#This Row],[Sample Description]]-1)+10.88)</f>
        <v>8.0100000000000016</v>
      </c>
      <c r="AK53" s="8">
        <f t="shared" si="2"/>
        <v>8</v>
      </c>
      <c r="AL53" s="3" t="s">
        <v>9</v>
      </c>
      <c r="AM53" s="3" t="s">
        <v>9</v>
      </c>
    </row>
    <row r="54" spans="12:40" ht="15.75">
      <c r="M54" s="8">
        <f t="shared" si="3"/>
        <v>9</v>
      </c>
      <c r="N54" s="10">
        <f>(9.6*(Table1[[#This Row],[Sample Description]]-1)+47.5)</f>
        <v>124.3</v>
      </c>
      <c r="O54" s="10">
        <f>(1.71*(Table1[[#This Row],[Sample Description]]-1)+8.44)</f>
        <v>22.119999999999997</v>
      </c>
      <c r="U54" s="8">
        <f t="shared" si="0"/>
        <v>9</v>
      </c>
      <c r="V54" s="10">
        <f>(0.9*(Table1_3[[#This Row],[Sample Description]]-2)+74.7)</f>
        <v>81</v>
      </c>
      <c r="W54" s="10">
        <f>(0.16*(Table1_3[[#This Row],[Sample Description]]-2)+13.28)</f>
        <v>14.399999999999999</v>
      </c>
      <c r="AC54" s="8">
        <f t="shared" si="1"/>
        <v>9</v>
      </c>
      <c r="AD54" s="10">
        <f>(-2.3*(Table1_34[[#This Row],[Sample Description]]-1)+61.2)</f>
        <v>42.800000000000004</v>
      </c>
      <c r="AE54" s="10">
        <f>(-0.41*(Table1_34[[#This Row],[Sample Description]]-1)+10.88)</f>
        <v>7.6000000000000014</v>
      </c>
      <c r="AK54" s="8">
        <f t="shared" si="2"/>
        <v>9</v>
      </c>
      <c r="AL54" s="3" t="s">
        <v>9</v>
      </c>
      <c r="AM54" s="3" t="s">
        <v>9</v>
      </c>
    </row>
    <row r="55" spans="12:40" ht="15.75">
      <c r="L55" s="8" t="s">
        <v>12</v>
      </c>
      <c r="M55" s="8">
        <f t="shared" si="3"/>
        <v>10</v>
      </c>
      <c r="N55" s="10">
        <f>(9.6*(Table1[[#This Row],[Sample Description]]-1)+47.5)</f>
        <v>133.89999999999998</v>
      </c>
      <c r="O55" s="10">
        <f>(1.71*(Table1[[#This Row],[Sample Description]]-1)+8.44)</f>
        <v>23.83</v>
      </c>
      <c r="P55">
        <f>(O46+O47+O48+O49+O50+O51+O52+O53+O54+Table1[[#This Row],[Strength(N/mm2)]]+O56+O57+O58+O59+O60+O61+O62+O63+O64+O65)/20</f>
        <v>24.737999999999996</v>
      </c>
      <c r="T55" s="8" t="s">
        <v>12</v>
      </c>
      <c r="U55" s="8">
        <f t="shared" si="0"/>
        <v>10</v>
      </c>
      <c r="V55" s="10">
        <f>(0.9*(Table1_3[[#This Row],[Sample Description]]-2)+74.7)</f>
        <v>81.900000000000006</v>
      </c>
      <c r="W55" s="10">
        <f>(0.16*(Table1_3[[#This Row],[Sample Description]]-2)+13.28)</f>
        <v>14.559999999999999</v>
      </c>
      <c r="X55">
        <f>(SUM(W46:W65)/20)</f>
        <v>14.7255</v>
      </c>
      <c r="AB55" s="8" t="s">
        <v>12</v>
      </c>
      <c r="AC55" s="8">
        <f t="shared" si="1"/>
        <v>10</v>
      </c>
      <c r="AD55" s="10">
        <f>(-2.3*(Table1_34[[#This Row],[Sample Description]]-1)+61.2)</f>
        <v>40.5</v>
      </c>
      <c r="AE55" s="10">
        <f>(-0.41*(Table1_34[[#This Row],[Sample Description]]-1)+10.88)</f>
        <v>7.1900000000000013</v>
      </c>
      <c r="AF55">
        <f>(SUM(AE46:AE65)/20)</f>
        <v>7.1719999999999997</v>
      </c>
      <c r="AJ55" s="8" t="s">
        <v>12</v>
      </c>
      <c r="AK55" s="8">
        <f t="shared" si="2"/>
        <v>10</v>
      </c>
      <c r="AL55" s="3" t="s">
        <v>9</v>
      </c>
      <c r="AM55" s="3" t="s">
        <v>9</v>
      </c>
      <c r="AN55" s="10" t="s">
        <v>9</v>
      </c>
    </row>
    <row r="56" spans="12:40" ht="15.75">
      <c r="M56" s="8">
        <f t="shared" si="3"/>
        <v>11</v>
      </c>
      <c r="N56" s="10">
        <f>(9.6*(Table1[[#This Row],[Sample Description]]-1)+47.5)</f>
        <v>143.5</v>
      </c>
      <c r="O56" s="10">
        <f>(1.71*(Table1[[#This Row],[Sample Description]]-1)+8.44)</f>
        <v>25.54</v>
      </c>
      <c r="U56" s="8">
        <f t="shared" si="0"/>
        <v>11</v>
      </c>
      <c r="V56" s="10">
        <f>(0.9*(Table1_3[[#This Row],[Sample Description]]-2)+74.7)</f>
        <v>82.8</v>
      </c>
      <c r="W56" s="10">
        <f>(0.16*(Table1_3[[#This Row],[Sample Description]]-2)+13.28)</f>
        <v>14.719999999999999</v>
      </c>
      <c r="AC56" s="8">
        <f t="shared" si="1"/>
        <v>11</v>
      </c>
      <c r="AD56" s="10">
        <f>(-2.3*(Table1_34[[#This Row],[Sample Description]]-1)+61.2)</f>
        <v>38.200000000000003</v>
      </c>
      <c r="AE56" s="10">
        <f>(-0.41*(Table1_34[[#This Row],[Sample Description]]-1)+10.88)</f>
        <v>6.7800000000000011</v>
      </c>
      <c r="AK56" s="8">
        <f t="shared" si="2"/>
        <v>11</v>
      </c>
      <c r="AL56" s="3" t="s">
        <v>9</v>
      </c>
      <c r="AM56" s="3" t="s">
        <v>9</v>
      </c>
    </row>
    <row r="57" spans="12:40" ht="15.75">
      <c r="M57" s="8">
        <f t="shared" si="3"/>
        <v>12</v>
      </c>
      <c r="N57" s="10">
        <f>(9.6*(Table1[[#This Row],[Sample Description]]-1)+47.5)</f>
        <v>153.1</v>
      </c>
      <c r="O57" s="10">
        <f>(1.71*(Table1[[#This Row],[Sample Description]]-1)+8.44)</f>
        <v>27.25</v>
      </c>
      <c r="U57" s="8">
        <f t="shared" si="0"/>
        <v>12</v>
      </c>
      <c r="V57" s="10">
        <f>(0.9*(Table1_3[[#This Row],[Sample Description]]-2)+74.7)</f>
        <v>83.7</v>
      </c>
      <c r="W57" s="10">
        <f>(0.16*(Table1_3[[#This Row],[Sample Description]]-2)+13.28)</f>
        <v>14.879999999999999</v>
      </c>
      <c r="AC57" s="8">
        <f t="shared" si="1"/>
        <v>12</v>
      </c>
      <c r="AD57" s="10">
        <f>(-2.3*(Table1_34[[#This Row],[Sample Description]]-1)+61.2)</f>
        <v>35.900000000000006</v>
      </c>
      <c r="AE57" s="10">
        <f>(-0.41*(Table1_34[[#This Row],[Sample Description]]-1)+10.88)</f>
        <v>6.370000000000001</v>
      </c>
      <c r="AK57" s="8">
        <f t="shared" si="2"/>
        <v>12</v>
      </c>
      <c r="AL57" s="3" t="s">
        <v>9</v>
      </c>
      <c r="AM57" s="3" t="s">
        <v>9</v>
      </c>
    </row>
    <row r="58" spans="12:40" ht="15.75">
      <c r="M58" s="8">
        <f t="shared" si="3"/>
        <v>13</v>
      </c>
      <c r="N58" s="10">
        <f>(9.6*(Table1[[#This Row],[Sample Description]]-1)+47.5)</f>
        <v>162.69999999999999</v>
      </c>
      <c r="O58" s="10">
        <f>(1.71*(Table1[[#This Row],[Sample Description]]-1)+8.44)</f>
        <v>28.96</v>
      </c>
      <c r="U58" s="8">
        <f t="shared" si="0"/>
        <v>13</v>
      </c>
      <c r="V58" s="10">
        <f>(0.9*(Table1_3[[#This Row],[Sample Description]]-2)+74.7)</f>
        <v>84.600000000000009</v>
      </c>
      <c r="W58" s="10">
        <f>(0.16*(Table1_3[[#This Row],[Sample Description]]-2)+13.28)</f>
        <v>15.04</v>
      </c>
      <c r="AC58" s="8">
        <f t="shared" si="1"/>
        <v>13</v>
      </c>
      <c r="AD58" s="10">
        <f>(-2.3*(Table1_34[[#This Row],[Sample Description]]-1)+61.2)</f>
        <v>33.600000000000009</v>
      </c>
      <c r="AE58" s="10">
        <f>(-0.41*(Table1_34[[#This Row],[Sample Description]]-1)+10.88)</f>
        <v>5.9600000000000009</v>
      </c>
      <c r="AK58" s="8">
        <f t="shared" si="2"/>
        <v>13</v>
      </c>
      <c r="AL58" s="3" t="s">
        <v>9</v>
      </c>
      <c r="AM58" s="3" t="s">
        <v>9</v>
      </c>
    </row>
    <row r="59" spans="12:40" ht="15.75">
      <c r="M59" s="8">
        <f t="shared" si="3"/>
        <v>14</v>
      </c>
      <c r="N59" s="10">
        <f>(9.6*(Table1[[#This Row],[Sample Description]]-1)+47.5)</f>
        <v>172.3</v>
      </c>
      <c r="O59" s="10">
        <f>(1.71*(Table1[[#This Row],[Sample Description]]-1)+8.44)</f>
        <v>30.67</v>
      </c>
      <c r="U59" s="8">
        <f t="shared" si="0"/>
        <v>14</v>
      </c>
      <c r="V59" s="10">
        <f>(0.9*(Table1_3[[#This Row],[Sample Description]]-2)+74.7)</f>
        <v>85.5</v>
      </c>
      <c r="W59" s="10">
        <f>(0.16*(Table1_3[[#This Row],[Sample Description]]-2)+13.28)</f>
        <v>15.2</v>
      </c>
      <c r="AC59" s="8">
        <f t="shared" si="1"/>
        <v>14</v>
      </c>
      <c r="AD59" s="10">
        <f>(-2.3*(Table1_34[[#This Row],[Sample Description]]-1)+61.2)</f>
        <v>31.300000000000004</v>
      </c>
      <c r="AE59" s="10">
        <f>(-0.41*(Table1_34[[#This Row],[Sample Description]]-1)+10.88)</f>
        <v>5.5500000000000007</v>
      </c>
      <c r="AK59" s="8">
        <f t="shared" si="2"/>
        <v>14</v>
      </c>
      <c r="AL59" s="3" t="s">
        <v>9</v>
      </c>
      <c r="AM59" s="3" t="s">
        <v>9</v>
      </c>
    </row>
    <row r="60" spans="12:40" ht="15.75">
      <c r="M60" s="8">
        <f t="shared" si="3"/>
        <v>15</v>
      </c>
      <c r="N60" s="10">
        <f>(9.6*(Table1[[#This Row],[Sample Description]]-1)+47.5)</f>
        <v>181.9</v>
      </c>
      <c r="O60" s="10">
        <f>(1.71*(Table1[[#This Row],[Sample Description]]-1)+8.44)</f>
        <v>32.379999999999995</v>
      </c>
      <c r="U60" s="8">
        <f t="shared" si="0"/>
        <v>15</v>
      </c>
      <c r="V60" s="10">
        <f>(0.9*(Table1_3[[#This Row],[Sample Description]]-2)+74.7)</f>
        <v>86.4</v>
      </c>
      <c r="W60" s="10">
        <f>(0.16*(Table1_3[[#This Row],[Sample Description]]-2)+13.28)</f>
        <v>15.36</v>
      </c>
      <c r="AC60" s="8">
        <f t="shared" si="1"/>
        <v>15</v>
      </c>
      <c r="AD60" s="10">
        <f>(-2.3*(Table1_34[[#This Row],[Sample Description]]-1)+61.2)</f>
        <v>29.000000000000007</v>
      </c>
      <c r="AE60" s="10">
        <f>(-0.41*(Table1_34[[#This Row],[Sample Description]]-1)+10.88)</f>
        <v>5.1400000000000015</v>
      </c>
      <c r="AK60" s="8">
        <f t="shared" si="2"/>
        <v>15</v>
      </c>
      <c r="AL60" s="3" t="s">
        <v>9</v>
      </c>
      <c r="AM60" s="3" t="s">
        <v>9</v>
      </c>
    </row>
    <row r="61" spans="12:40" ht="15.75">
      <c r="M61" s="8">
        <f t="shared" si="3"/>
        <v>16</v>
      </c>
      <c r="N61" s="10">
        <f>(9.6*(Table1[[#This Row],[Sample Description]]-1)+47.5)</f>
        <v>191.5</v>
      </c>
      <c r="O61" s="10">
        <f>(1.71*(Table1[[#This Row],[Sample Description]]-1)+8.44)</f>
        <v>34.089999999999996</v>
      </c>
      <c r="U61" s="8">
        <f t="shared" si="0"/>
        <v>16</v>
      </c>
      <c r="V61" s="10">
        <f>(0.9*(Table1_3[[#This Row],[Sample Description]]-2)+74.7)</f>
        <v>87.3</v>
      </c>
      <c r="W61" s="10">
        <f>(0.16*(Table1_3[[#This Row],[Sample Description]]-2)+13.28)</f>
        <v>15.52</v>
      </c>
      <c r="AC61" s="8">
        <f t="shared" si="1"/>
        <v>16</v>
      </c>
      <c r="AD61" s="10">
        <f>(-2.3*(Table1_34[[#This Row],[Sample Description]]-1)+61.2)</f>
        <v>26.700000000000003</v>
      </c>
      <c r="AE61" s="10">
        <f>(-0.41*(Table1_34[[#This Row],[Sample Description]]-1)+10.88)</f>
        <v>4.7300000000000013</v>
      </c>
      <c r="AK61" s="8">
        <f t="shared" si="2"/>
        <v>16</v>
      </c>
      <c r="AL61" s="3" t="s">
        <v>9</v>
      </c>
      <c r="AM61" s="3" t="s">
        <v>9</v>
      </c>
    </row>
    <row r="62" spans="12:40" ht="15.75">
      <c r="M62" s="8">
        <f t="shared" si="3"/>
        <v>17</v>
      </c>
      <c r="N62" s="10">
        <f>(9.6*(Table1[[#This Row],[Sample Description]]-1)+47.5)</f>
        <v>201.1</v>
      </c>
      <c r="O62" s="10">
        <f>(1.71*(Table1[[#This Row],[Sample Description]]-1)+8.44)</f>
        <v>35.799999999999997</v>
      </c>
      <c r="U62" s="8">
        <f t="shared" si="0"/>
        <v>17</v>
      </c>
      <c r="V62" s="10">
        <f>(0.9*(Table1_3[[#This Row],[Sample Description]]-2)+74.7)</f>
        <v>88.2</v>
      </c>
      <c r="W62" s="10">
        <f>(0.16*(Table1_3[[#This Row],[Sample Description]]-2)+13.28)</f>
        <v>15.68</v>
      </c>
      <c r="AC62" s="8">
        <f t="shared" si="1"/>
        <v>17</v>
      </c>
      <c r="AD62" s="10">
        <f>(-2.3*(Table1_34[[#This Row],[Sample Description]]-1)+61.2)</f>
        <v>24.400000000000006</v>
      </c>
      <c r="AE62" s="10">
        <f>(-0.41*(Table1_34[[#This Row],[Sample Description]]-1)+10.88)</f>
        <v>4.3200000000000012</v>
      </c>
      <c r="AK62" s="8">
        <f t="shared" si="2"/>
        <v>17</v>
      </c>
      <c r="AL62" s="3" t="s">
        <v>9</v>
      </c>
      <c r="AM62" s="3" t="s">
        <v>9</v>
      </c>
    </row>
    <row r="63" spans="12:40" ht="15.75">
      <c r="M63" s="8">
        <f t="shared" si="3"/>
        <v>18</v>
      </c>
      <c r="N63" s="10">
        <f>(9.6*(Table1[[#This Row],[Sample Description]]-1)+47.5)</f>
        <v>210.7</v>
      </c>
      <c r="O63" s="10">
        <f>(1.71*(Table1[[#This Row],[Sample Description]]-1)+8.44)</f>
        <v>37.51</v>
      </c>
      <c r="U63" s="8">
        <f t="shared" si="0"/>
        <v>18</v>
      </c>
      <c r="V63" s="10">
        <f>(0.9*(Table1_3[[#This Row],[Sample Description]]-2)+74.7)</f>
        <v>89.100000000000009</v>
      </c>
      <c r="W63" s="10">
        <f>(0.16*(Table1_3[[#This Row],[Sample Description]]-2)+13.28)</f>
        <v>15.84</v>
      </c>
      <c r="AC63" s="8">
        <f t="shared" si="1"/>
        <v>18</v>
      </c>
      <c r="AD63" s="10">
        <f>(-2.3*(Table1_34[[#This Row],[Sample Description]]-1)+61.2)</f>
        <v>22.100000000000009</v>
      </c>
      <c r="AE63" s="10">
        <f>(-0.41*(Table1_34[[#This Row],[Sample Description]]-1)+10.88)</f>
        <v>3.910000000000001</v>
      </c>
      <c r="AK63" s="8">
        <f t="shared" si="2"/>
        <v>18</v>
      </c>
      <c r="AL63" s="3" t="s">
        <v>9</v>
      </c>
      <c r="AM63" s="3" t="s">
        <v>9</v>
      </c>
    </row>
    <row r="64" spans="12:40" ht="15.75">
      <c r="M64" s="8">
        <f t="shared" si="3"/>
        <v>19</v>
      </c>
      <c r="N64" s="10">
        <f>(9.6*(Table1[[#This Row],[Sample Description]]-1)+47.5)</f>
        <v>220.29999999999998</v>
      </c>
      <c r="O64" s="10">
        <f>(1.71*(Table1[[#This Row],[Sample Description]]-1)+8.44)</f>
        <v>39.22</v>
      </c>
      <c r="U64" s="8">
        <f t="shared" si="0"/>
        <v>19</v>
      </c>
      <c r="V64" s="10">
        <f>(0.9*(Table1_3[[#This Row],[Sample Description]]-2)+74.7)</f>
        <v>90</v>
      </c>
      <c r="W64" s="10">
        <f>(0.16*(Table1_3[[#This Row],[Sample Description]]-2)+13.28)</f>
        <v>16</v>
      </c>
      <c r="AC64" s="8">
        <f t="shared" si="1"/>
        <v>19</v>
      </c>
      <c r="AD64" s="10">
        <f>(-2.3*(Table1_34[[#This Row],[Sample Description]]-1)+61.2)</f>
        <v>19.800000000000004</v>
      </c>
      <c r="AE64" s="10">
        <f>(-0.41*(Table1_34[[#This Row],[Sample Description]]-1)+10.88)</f>
        <v>3.5000000000000009</v>
      </c>
      <c r="AK64" s="8">
        <f t="shared" si="2"/>
        <v>19</v>
      </c>
      <c r="AL64" s="3" t="s">
        <v>9</v>
      </c>
      <c r="AM64" s="3" t="s">
        <v>9</v>
      </c>
    </row>
    <row r="65" spans="12:40" ht="15.75">
      <c r="M65" s="8">
        <f t="shared" si="3"/>
        <v>20</v>
      </c>
      <c r="N65" s="10">
        <f>(9.6*(Table1[[#This Row],[Sample Description]]-1)+47.5)</f>
        <v>229.9</v>
      </c>
      <c r="O65" s="10">
        <f>(1.71*(Table1[[#This Row],[Sample Description]]-1)+8.44)</f>
        <v>40.93</v>
      </c>
      <c r="U65" s="8">
        <f t="shared" si="0"/>
        <v>20</v>
      </c>
      <c r="V65" s="10">
        <f>(0.9*(Table1_3[[#This Row],[Sample Description]]-2)+74.7)</f>
        <v>90.9</v>
      </c>
      <c r="W65" s="10">
        <f>(0.16*(Table1_3[[#This Row],[Sample Description]]-2)+13.28)</f>
        <v>16.16</v>
      </c>
      <c r="AC65" s="8">
        <f t="shared" si="1"/>
        <v>20</v>
      </c>
      <c r="AD65" s="10">
        <f>(-2.3*(Table1_34[[#This Row],[Sample Description]]-1)+61.2)</f>
        <v>17.500000000000007</v>
      </c>
      <c r="AE65" s="10">
        <f>(-0.41*(Table1_34[[#This Row],[Sample Description]]-1)+10.88)</f>
        <v>3.0900000000000016</v>
      </c>
      <c r="AK65" s="8">
        <f t="shared" si="2"/>
        <v>20</v>
      </c>
      <c r="AL65" s="3" t="s">
        <v>9</v>
      </c>
      <c r="AM65" s="3" t="s">
        <v>9</v>
      </c>
    </row>
    <row r="66" spans="12:40" ht="15.75">
      <c r="L66" s="3"/>
      <c r="M66" s="3">
        <v>1</v>
      </c>
      <c r="N66" s="3">
        <v>63.8</v>
      </c>
      <c r="O66" s="3">
        <v>11.34</v>
      </c>
      <c r="P66" s="3"/>
      <c r="T66" s="3"/>
      <c r="U66" s="3">
        <v>1</v>
      </c>
      <c r="V66" s="5">
        <v>78.7</v>
      </c>
      <c r="W66" s="5">
        <v>13.99</v>
      </c>
      <c r="X66" s="5"/>
      <c r="AB66" s="3"/>
      <c r="AC66" s="3">
        <v>1</v>
      </c>
      <c r="AD66" s="5">
        <v>67.400000000000006</v>
      </c>
      <c r="AE66" s="5">
        <v>11.98</v>
      </c>
      <c r="AF66" s="3"/>
      <c r="AJ66" s="3"/>
      <c r="AK66" s="3">
        <v>1</v>
      </c>
      <c r="AL66" s="3" t="s">
        <v>9</v>
      </c>
      <c r="AM66" s="3" t="s">
        <v>9</v>
      </c>
      <c r="AN66" s="3"/>
    </row>
    <row r="67" spans="12:40" ht="15.75">
      <c r="L67" s="3"/>
      <c r="M67" s="3">
        <v>2</v>
      </c>
      <c r="N67" s="3">
        <v>68.599999999999994</v>
      </c>
      <c r="O67" s="3">
        <v>12.2</v>
      </c>
      <c r="P67" s="3"/>
      <c r="T67" s="3"/>
      <c r="U67" s="3">
        <v>2</v>
      </c>
      <c r="V67" s="5">
        <v>84.3</v>
      </c>
      <c r="W67" s="5">
        <v>14.99</v>
      </c>
      <c r="X67" s="5"/>
      <c r="AB67" s="3"/>
      <c r="AC67" s="3">
        <v>2</v>
      </c>
      <c r="AD67" s="5">
        <v>77</v>
      </c>
      <c r="AE67" s="5">
        <v>13.69</v>
      </c>
      <c r="AF67" s="3"/>
      <c r="AJ67" s="3"/>
      <c r="AK67" s="3">
        <v>2</v>
      </c>
      <c r="AL67" s="3" t="s">
        <v>9</v>
      </c>
      <c r="AM67" s="3" t="s">
        <v>9</v>
      </c>
      <c r="AN67" s="3"/>
    </row>
    <row r="68" spans="12:40" ht="15.75">
      <c r="L68" s="3"/>
      <c r="M68" s="3">
        <v>3</v>
      </c>
      <c r="N68" s="3">
        <v>46.2</v>
      </c>
      <c r="O68" s="3">
        <v>8.2100000000000009</v>
      </c>
      <c r="P68" s="3"/>
      <c r="T68" s="3"/>
      <c r="U68" s="3">
        <v>3</v>
      </c>
      <c r="V68" s="5">
        <v>91.5</v>
      </c>
      <c r="W68" s="5">
        <v>16.27</v>
      </c>
      <c r="X68" s="5"/>
      <c r="AB68" s="3"/>
      <c r="AC68" s="3">
        <v>3</v>
      </c>
      <c r="AD68" s="5">
        <v>80.099999999999994</v>
      </c>
      <c r="AE68" s="5">
        <v>14.24</v>
      </c>
      <c r="AF68" s="3"/>
      <c r="AJ68" s="3"/>
      <c r="AK68" s="3">
        <v>3</v>
      </c>
      <c r="AL68" s="3" t="s">
        <v>9</v>
      </c>
      <c r="AM68" s="3" t="s">
        <v>9</v>
      </c>
      <c r="AN68" s="3"/>
    </row>
    <row r="69" spans="12:40" ht="15.75">
      <c r="M69" s="8">
        <f>M68+1</f>
        <v>4</v>
      </c>
      <c r="N69" s="10">
        <f>(4.8*(Table1[[#This Row],[Sample Description]]-1)+63.8)</f>
        <v>78.199999999999989</v>
      </c>
      <c r="O69" s="10">
        <f>(0.86*(Table1[[#This Row],[Sample Description]]-1)+11.34)</f>
        <v>13.92</v>
      </c>
      <c r="U69" s="8">
        <f t="shared" ref="U69:U85" si="4">U68+1</f>
        <v>4</v>
      </c>
      <c r="V69" s="10">
        <f>(5.6*(Table1_3[[#This Row],[Sample Description]]-1)+78.7)</f>
        <v>95.5</v>
      </c>
      <c r="W69" s="10">
        <f>(1*(Table1_3[[#This Row],[Sample Description]]-1)+13.99)</f>
        <v>16.990000000000002</v>
      </c>
      <c r="AC69" s="8">
        <f t="shared" ref="AC69:AC85" si="5">AC68+1</f>
        <v>4</v>
      </c>
      <c r="AD69" s="10">
        <f>(3.1*(Table1_34[[#This Row],[Sample Description]]-2)+77)</f>
        <v>83.2</v>
      </c>
      <c r="AE69" s="10">
        <f>(0.55*(Table1_34[[#This Row],[Sample Description]]-2)+13.69)</f>
        <v>14.79</v>
      </c>
      <c r="AK69" s="8">
        <f t="shared" ref="AK69:AK85" si="6">AK68+1</f>
        <v>4</v>
      </c>
      <c r="AL69" s="3" t="s">
        <v>9</v>
      </c>
      <c r="AM69" s="3" t="s">
        <v>9</v>
      </c>
    </row>
    <row r="70" spans="12:40" ht="15.75">
      <c r="M70" s="8">
        <f t="shared" ref="M70:M85" si="7">M69+1</f>
        <v>5</v>
      </c>
      <c r="N70" s="10">
        <f>(4.8*(Table1[[#This Row],[Sample Description]]-1)+63.8)</f>
        <v>83</v>
      </c>
      <c r="O70" s="10">
        <f>(0.86*(Table1[[#This Row],[Sample Description]]-1)+11.34)</f>
        <v>14.78</v>
      </c>
      <c r="U70" s="8">
        <f t="shared" si="4"/>
        <v>5</v>
      </c>
      <c r="V70" s="10">
        <f>(5.6*(Table1_3[[#This Row],[Sample Description]]-1)+78.7)</f>
        <v>101.1</v>
      </c>
      <c r="W70" s="10">
        <f>(1*(Table1_3[[#This Row],[Sample Description]]-1)+13.99)</f>
        <v>17.990000000000002</v>
      </c>
      <c r="AC70" s="8">
        <f t="shared" si="5"/>
        <v>5</v>
      </c>
      <c r="AD70" s="10">
        <f>(3.1*(Table1_34[[#This Row],[Sample Description]]-2)+77)</f>
        <v>86.3</v>
      </c>
      <c r="AE70" s="10">
        <f>(0.55*(Table1_34[[#This Row],[Sample Description]]-2)+13.69)</f>
        <v>15.34</v>
      </c>
      <c r="AK70" s="8">
        <f t="shared" si="6"/>
        <v>5</v>
      </c>
      <c r="AL70" s="3" t="s">
        <v>9</v>
      </c>
      <c r="AM70" s="3" t="s">
        <v>9</v>
      </c>
    </row>
    <row r="71" spans="12:40" ht="15.75">
      <c r="M71" s="8">
        <f t="shared" si="7"/>
        <v>6</v>
      </c>
      <c r="N71" s="10">
        <f>(4.8*(Table1[[#This Row],[Sample Description]]-1)+63.8)</f>
        <v>87.8</v>
      </c>
      <c r="O71" s="10">
        <f>(0.86*(Table1[[#This Row],[Sample Description]]-1)+11.34)</f>
        <v>15.64</v>
      </c>
      <c r="U71" s="8">
        <f t="shared" si="4"/>
        <v>6</v>
      </c>
      <c r="V71" s="10">
        <f>(5.6*(Table1_3[[#This Row],[Sample Description]]-1)+78.7)</f>
        <v>106.7</v>
      </c>
      <c r="W71" s="10">
        <f>(1*(Table1_3[[#This Row],[Sample Description]]-1)+13.99)</f>
        <v>18.990000000000002</v>
      </c>
      <c r="AC71" s="8">
        <f t="shared" si="5"/>
        <v>6</v>
      </c>
      <c r="AD71" s="10">
        <f>(3.1*(Table1_34[[#This Row],[Sample Description]]-2)+77)</f>
        <v>89.4</v>
      </c>
      <c r="AE71" s="10">
        <f>(0.55*(Table1_34[[#This Row],[Sample Description]]-2)+13.69)</f>
        <v>15.89</v>
      </c>
      <c r="AK71" s="8">
        <f t="shared" si="6"/>
        <v>6</v>
      </c>
      <c r="AL71" s="3" t="s">
        <v>9</v>
      </c>
      <c r="AM71" s="3" t="s">
        <v>9</v>
      </c>
    </row>
    <row r="72" spans="12:40" ht="15.75">
      <c r="M72" s="8">
        <f t="shared" si="7"/>
        <v>7</v>
      </c>
      <c r="N72" s="10">
        <f>(4.8*(Table1[[#This Row],[Sample Description]]-1)+63.8)</f>
        <v>92.6</v>
      </c>
      <c r="O72" s="10">
        <f>(0.86*(Table1[[#This Row],[Sample Description]]-1)+11.34)</f>
        <v>16.5</v>
      </c>
      <c r="U72" s="8">
        <f t="shared" si="4"/>
        <v>7</v>
      </c>
      <c r="V72" s="10">
        <f>(5.6*(Table1_3[[#This Row],[Sample Description]]-1)+78.7)</f>
        <v>112.3</v>
      </c>
      <c r="W72" s="10">
        <f>(1*(Table1_3[[#This Row],[Sample Description]]-1)+13.99)</f>
        <v>19.990000000000002</v>
      </c>
      <c r="AC72" s="8">
        <f t="shared" si="5"/>
        <v>7</v>
      </c>
      <c r="AD72" s="10">
        <f>(3.1*(Table1_34[[#This Row],[Sample Description]]-2)+77)</f>
        <v>92.5</v>
      </c>
      <c r="AE72" s="10">
        <f>(0.55*(Table1_34[[#This Row],[Sample Description]]-2)+13.69)</f>
        <v>16.439999999999998</v>
      </c>
      <c r="AK72" s="8">
        <f t="shared" si="6"/>
        <v>7</v>
      </c>
      <c r="AL72" s="3" t="s">
        <v>9</v>
      </c>
      <c r="AM72" s="3" t="s">
        <v>9</v>
      </c>
    </row>
    <row r="73" spans="12:40" ht="15.75">
      <c r="M73" s="8">
        <f t="shared" si="7"/>
        <v>8</v>
      </c>
      <c r="N73" s="10">
        <f>(4.8*(Table1[[#This Row],[Sample Description]]-1)+63.8)</f>
        <v>97.4</v>
      </c>
      <c r="O73" s="10">
        <f>(0.86*(Table1[[#This Row],[Sample Description]]-1)+11.34)</f>
        <v>17.36</v>
      </c>
      <c r="U73" s="8">
        <f t="shared" si="4"/>
        <v>8</v>
      </c>
      <c r="V73" s="10">
        <f>(5.6*(Table1_3[[#This Row],[Sample Description]]-1)+78.7)</f>
        <v>117.9</v>
      </c>
      <c r="W73" s="10">
        <f>(1*(Table1_3[[#This Row],[Sample Description]]-1)+13.99)</f>
        <v>20.990000000000002</v>
      </c>
      <c r="AC73" s="8">
        <f t="shared" si="5"/>
        <v>8</v>
      </c>
      <c r="AD73" s="10">
        <f>(3.1*(Table1_34[[#This Row],[Sample Description]]-2)+77)</f>
        <v>95.6</v>
      </c>
      <c r="AE73" s="10">
        <f>(0.55*(Table1_34[[#This Row],[Sample Description]]-2)+13.69)</f>
        <v>16.989999999999998</v>
      </c>
      <c r="AK73" s="8">
        <f t="shared" si="6"/>
        <v>8</v>
      </c>
      <c r="AL73" s="3" t="s">
        <v>9</v>
      </c>
      <c r="AM73" s="3" t="s">
        <v>9</v>
      </c>
    </row>
    <row r="74" spans="12:40" ht="15.75">
      <c r="M74" s="8">
        <f t="shared" si="7"/>
        <v>9</v>
      </c>
      <c r="N74" s="10">
        <f>(4.8*(Table1[[#This Row],[Sample Description]]-1)+63.8)</f>
        <v>102.19999999999999</v>
      </c>
      <c r="O74" s="10">
        <f>(0.86*(Table1[[#This Row],[Sample Description]]-1)+11.34)</f>
        <v>18.22</v>
      </c>
      <c r="U74" s="8">
        <f t="shared" si="4"/>
        <v>9</v>
      </c>
      <c r="V74" s="10">
        <f>(5.6*(Table1_3[[#This Row],[Sample Description]]-1)+78.7)</f>
        <v>123.5</v>
      </c>
      <c r="W74" s="10">
        <f>(1*(Table1_3[[#This Row],[Sample Description]]-1)+13.99)</f>
        <v>21.990000000000002</v>
      </c>
      <c r="AC74" s="8">
        <f t="shared" si="5"/>
        <v>9</v>
      </c>
      <c r="AD74" s="10">
        <f>(3.1*(Table1_34[[#This Row],[Sample Description]]-2)+77)</f>
        <v>98.7</v>
      </c>
      <c r="AE74" s="10">
        <f>(0.55*(Table1_34[[#This Row],[Sample Description]]-2)+13.69)</f>
        <v>17.54</v>
      </c>
      <c r="AK74" s="8">
        <f t="shared" si="6"/>
        <v>9</v>
      </c>
      <c r="AL74" s="3" t="s">
        <v>9</v>
      </c>
      <c r="AM74" s="3" t="s">
        <v>9</v>
      </c>
    </row>
    <row r="75" spans="12:40" ht="15.75">
      <c r="L75" s="8" t="s">
        <v>13</v>
      </c>
      <c r="M75" s="8">
        <f t="shared" si="7"/>
        <v>10</v>
      </c>
      <c r="N75" s="10">
        <f>(4.8*(Table1[[#This Row],[Sample Description]]-1)+63.8)</f>
        <v>107</v>
      </c>
      <c r="O75" s="10">
        <f>(0.86*(Table1[[#This Row],[Sample Description]]-1)+11.34)</f>
        <v>19.079999999999998</v>
      </c>
      <c r="P75">
        <f>(O66+O67+O68+O69+O70+O71+O72+O73+O74+Table1[[#This Row],[Strength(N/mm2)]]+O76+O77+O78+O79+O80+O81+O82+O83+O84+O85)/20</f>
        <v>19.267500000000002</v>
      </c>
      <c r="T75" s="8" t="s">
        <v>13</v>
      </c>
      <c r="U75" s="8">
        <f t="shared" si="4"/>
        <v>10</v>
      </c>
      <c r="V75" s="10">
        <f>(5.6*(Table1_3[[#This Row],[Sample Description]]-1)+78.7)</f>
        <v>129.1</v>
      </c>
      <c r="W75" s="10">
        <f>(1*(Table1_3[[#This Row],[Sample Description]]-1)+13.99)</f>
        <v>22.990000000000002</v>
      </c>
      <c r="X75">
        <f>(SUM(W66:W85)/20)</f>
        <v>23.504000000000005</v>
      </c>
      <c r="AB75" s="8" t="s">
        <v>13</v>
      </c>
      <c r="AC75" s="8">
        <f t="shared" si="5"/>
        <v>10</v>
      </c>
      <c r="AD75" s="10">
        <f>(3.1*(Table1_34[[#This Row],[Sample Description]]-2)+77)</f>
        <v>101.8</v>
      </c>
      <c r="AE75" s="10">
        <f>(0.55*(Table1_34[[#This Row],[Sample Description]]-2)+13.69)</f>
        <v>18.09</v>
      </c>
      <c r="AF75">
        <f>(SUM(AE66:AE85)/20)</f>
        <v>18.306999999999999</v>
      </c>
      <c r="AJ75" s="8" t="s">
        <v>13</v>
      </c>
      <c r="AK75" s="8">
        <f t="shared" si="6"/>
        <v>10</v>
      </c>
      <c r="AL75" s="3" t="s">
        <v>9</v>
      </c>
      <c r="AM75" s="3" t="s">
        <v>9</v>
      </c>
      <c r="AN75" s="10" t="s">
        <v>9</v>
      </c>
    </row>
    <row r="76" spans="12:40" ht="15.75">
      <c r="M76" s="8">
        <f t="shared" si="7"/>
        <v>11</v>
      </c>
      <c r="N76" s="10">
        <f>(4.8*(Table1[[#This Row],[Sample Description]]-1)+63.8)</f>
        <v>111.8</v>
      </c>
      <c r="O76" s="10">
        <f>(0.86*(Table1[[#This Row],[Sample Description]]-1)+11.34)</f>
        <v>19.939999999999998</v>
      </c>
      <c r="U76" s="8">
        <f t="shared" si="4"/>
        <v>11</v>
      </c>
      <c r="V76" s="10">
        <f>(5.6*(Table1_3[[#This Row],[Sample Description]]-1)+78.7)</f>
        <v>134.69999999999999</v>
      </c>
      <c r="W76" s="10">
        <f>(1*(Table1_3[[#This Row],[Sample Description]]-1)+13.99)</f>
        <v>23.990000000000002</v>
      </c>
      <c r="AC76" s="8">
        <f t="shared" si="5"/>
        <v>11</v>
      </c>
      <c r="AD76" s="10">
        <f>(3.1*(Table1_34[[#This Row],[Sample Description]]-2)+77)</f>
        <v>104.9</v>
      </c>
      <c r="AE76" s="10">
        <f>(0.55*(Table1_34[[#This Row],[Sample Description]]-2)+13.69)</f>
        <v>18.64</v>
      </c>
      <c r="AK76" s="8">
        <f t="shared" si="6"/>
        <v>11</v>
      </c>
      <c r="AL76" s="3" t="s">
        <v>9</v>
      </c>
      <c r="AM76" s="3" t="s">
        <v>9</v>
      </c>
    </row>
    <row r="77" spans="12:40" ht="15.75">
      <c r="M77" s="8">
        <f t="shared" si="7"/>
        <v>12</v>
      </c>
      <c r="N77" s="10">
        <f>(4.8*(Table1[[#This Row],[Sample Description]]-1)+63.8)</f>
        <v>116.6</v>
      </c>
      <c r="O77" s="10">
        <f>(0.86*(Table1[[#This Row],[Sample Description]]-1)+11.34)</f>
        <v>20.799999999999997</v>
      </c>
      <c r="U77" s="8">
        <f t="shared" si="4"/>
        <v>12</v>
      </c>
      <c r="V77" s="10">
        <f>(5.6*(Table1_3[[#This Row],[Sample Description]]-1)+78.7)</f>
        <v>140.30000000000001</v>
      </c>
      <c r="W77" s="10">
        <f>(1*(Table1_3[[#This Row],[Sample Description]]-1)+13.99)</f>
        <v>24.990000000000002</v>
      </c>
      <c r="AC77" s="8">
        <f t="shared" si="5"/>
        <v>12</v>
      </c>
      <c r="AD77" s="10">
        <f>(3.1*(Table1_34[[#This Row],[Sample Description]]-2)+77)</f>
        <v>108</v>
      </c>
      <c r="AE77" s="10">
        <f>(0.55*(Table1_34[[#This Row],[Sample Description]]-2)+13.69)</f>
        <v>19.189999999999998</v>
      </c>
      <c r="AK77" s="8">
        <f t="shared" si="6"/>
        <v>12</v>
      </c>
      <c r="AL77" s="3" t="s">
        <v>9</v>
      </c>
      <c r="AM77" s="3" t="s">
        <v>9</v>
      </c>
    </row>
    <row r="78" spans="12:40" ht="15.75">
      <c r="M78" s="8">
        <f t="shared" si="7"/>
        <v>13</v>
      </c>
      <c r="N78" s="10">
        <f>(4.8*(Table1[[#This Row],[Sample Description]]-1)+63.8)</f>
        <v>121.39999999999999</v>
      </c>
      <c r="O78" s="10">
        <f>(0.86*(Table1[[#This Row],[Sample Description]]-1)+11.34)</f>
        <v>21.66</v>
      </c>
      <c r="U78" s="8">
        <f t="shared" si="4"/>
        <v>13</v>
      </c>
      <c r="V78" s="10">
        <f>(5.6*(Table1_3[[#This Row],[Sample Description]]-1)+78.7)</f>
        <v>145.89999999999998</v>
      </c>
      <c r="W78" s="10">
        <f>(1*(Table1_3[[#This Row],[Sample Description]]-1)+13.99)</f>
        <v>25.990000000000002</v>
      </c>
      <c r="AC78" s="8">
        <f t="shared" si="5"/>
        <v>13</v>
      </c>
      <c r="AD78" s="10">
        <f>(3.1*(Table1_34[[#This Row],[Sample Description]]-2)+77)</f>
        <v>111.1</v>
      </c>
      <c r="AE78" s="10">
        <f>(0.55*(Table1_34[[#This Row],[Sample Description]]-2)+13.69)</f>
        <v>19.740000000000002</v>
      </c>
      <c r="AK78" s="8">
        <f t="shared" si="6"/>
        <v>13</v>
      </c>
      <c r="AL78" s="3" t="s">
        <v>9</v>
      </c>
      <c r="AM78" s="3" t="s">
        <v>9</v>
      </c>
    </row>
    <row r="79" spans="12:40" ht="15.75">
      <c r="M79" s="8">
        <f t="shared" si="7"/>
        <v>14</v>
      </c>
      <c r="N79" s="10">
        <f>(4.8*(Table1[[#This Row],[Sample Description]]-1)+63.8)</f>
        <v>126.19999999999999</v>
      </c>
      <c r="O79" s="10">
        <f>(0.86*(Table1[[#This Row],[Sample Description]]-1)+11.34)</f>
        <v>22.52</v>
      </c>
      <c r="U79" s="8">
        <f t="shared" si="4"/>
        <v>14</v>
      </c>
      <c r="V79" s="10">
        <f>(5.6*(Table1_3[[#This Row],[Sample Description]]-1)+78.7)</f>
        <v>151.5</v>
      </c>
      <c r="W79" s="10">
        <f>(1*(Table1_3[[#This Row],[Sample Description]]-1)+13.99)</f>
        <v>26.990000000000002</v>
      </c>
      <c r="AC79" s="8">
        <f t="shared" si="5"/>
        <v>14</v>
      </c>
      <c r="AD79" s="10">
        <f>(3.1*(Table1_34[[#This Row],[Sample Description]]-2)+77)</f>
        <v>114.2</v>
      </c>
      <c r="AE79" s="10">
        <f>(0.55*(Table1_34[[#This Row],[Sample Description]]-2)+13.69)</f>
        <v>20.29</v>
      </c>
      <c r="AK79" s="8">
        <f t="shared" si="6"/>
        <v>14</v>
      </c>
      <c r="AL79" s="3" t="s">
        <v>9</v>
      </c>
      <c r="AM79" s="3" t="s">
        <v>9</v>
      </c>
    </row>
    <row r="80" spans="12:40" ht="15.75">
      <c r="M80" s="8">
        <f t="shared" si="7"/>
        <v>15</v>
      </c>
      <c r="N80" s="10">
        <f>(4.8*(Table1[[#This Row],[Sample Description]]-1)+63.8)</f>
        <v>131</v>
      </c>
      <c r="O80" s="10">
        <f>(0.86*(Table1[[#This Row],[Sample Description]]-1)+11.34)</f>
        <v>23.38</v>
      </c>
      <c r="U80" s="8">
        <f t="shared" si="4"/>
        <v>15</v>
      </c>
      <c r="V80" s="10">
        <f>(5.6*(Table1_3[[#This Row],[Sample Description]]-1)+78.7)</f>
        <v>157.1</v>
      </c>
      <c r="W80" s="10">
        <f>(1*(Table1_3[[#This Row],[Sample Description]]-1)+13.99)</f>
        <v>27.990000000000002</v>
      </c>
      <c r="AC80" s="8">
        <f t="shared" si="5"/>
        <v>15</v>
      </c>
      <c r="AD80" s="10">
        <f>(3.1*(Table1_34[[#This Row],[Sample Description]]-2)+77)</f>
        <v>117.30000000000001</v>
      </c>
      <c r="AE80" s="10">
        <f>(0.55*(Table1_34[[#This Row],[Sample Description]]-2)+13.69)</f>
        <v>20.84</v>
      </c>
      <c r="AK80" s="8">
        <f t="shared" si="6"/>
        <v>15</v>
      </c>
      <c r="AL80" s="3" t="s">
        <v>9</v>
      </c>
      <c r="AM80" s="3" t="s">
        <v>9</v>
      </c>
    </row>
    <row r="81" spans="12:40" ht="15.75">
      <c r="M81" s="8">
        <f t="shared" si="7"/>
        <v>16</v>
      </c>
      <c r="N81" s="10">
        <f>(4.8*(Table1[[#This Row],[Sample Description]]-1)+63.8)</f>
        <v>135.80000000000001</v>
      </c>
      <c r="O81" s="10">
        <f>(0.86*(Table1[[#This Row],[Sample Description]]-1)+11.34)</f>
        <v>24.240000000000002</v>
      </c>
      <c r="U81" s="8">
        <f t="shared" si="4"/>
        <v>16</v>
      </c>
      <c r="V81" s="10">
        <f>(5.6*(Table1_3[[#This Row],[Sample Description]]-1)+78.7)</f>
        <v>162.69999999999999</v>
      </c>
      <c r="W81" s="10">
        <f>(1*(Table1_3[[#This Row],[Sample Description]]-1)+13.99)</f>
        <v>28.990000000000002</v>
      </c>
      <c r="AC81" s="8">
        <f t="shared" si="5"/>
        <v>16</v>
      </c>
      <c r="AD81" s="10">
        <f>(3.1*(Table1_34[[#This Row],[Sample Description]]-2)+77)</f>
        <v>120.4</v>
      </c>
      <c r="AE81" s="10">
        <f>(0.55*(Table1_34[[#This Row],[Sample Description]]-2)+13.69)</f>
        <v>21.39</v>
      </c>
      <c r="AK81" s="8">
        <f t="shared" si="6"/>
        <v>16</v>
      </c>
      <c r="AL81" s="3" t="s">
        <v>9</v>
      </c>
      <c r="AM81" s="3" t="s">
        <v>9</v>
      </c>
    </row>
    <row r="82" spans="12:40" ht="15.75">
      <c r="M82" s="8">
        <f t="shared" si="7"/>
        <v>17</v>
      </c>
      <c r="N82" s="10">
        <f>(4.8*(Table1[[#This Row],[Sample Description]]-1)+63.8)</f>
        <v>140.6</v>
      </c>
      <c r="O82" s="10">
        <f>(0.86*(Table1[[#This Row],[Sample Description]]-1)+11.34)</f>
        <v>25.1</v>
      </c>
      <c r="U82" s="8">
        <f t="shared" si="4"/>
        <v>17</v>
      </c>
      <c r="V82" s="10">
        <f>(5.6*(Table1_3[[#This Row],[Sample Description]]-1)+78.7)</f>
        <v>168.3</v>
      </c>
      <c r="W82" s="10">
        <f>(1*(Table1_3[[#This Row],[Sample Description]]-1)+13.99)</f>
        <v>29.990000000000002</v>
      </c>
      <c r="AC82" s="8">
        <f t="shared" si="5"/>
        <v>17</v>
      </c>
      <c r="AD82" s="10">
        <f>(3.1*(Table1_34[[#This Row],[Sample Description]]-2)+77)</f>
        <v>123.5</v>
      </c>
      <c r="AE82" s="10">
        <f>(0.55*(Table1_34[[#This Row],[Sample Description]]-2)+13.69)</f>
        <v>21.939999999999998</v>
      </c>
      <c r="AK82" s="8">
        <f t="shared" si="6"/>
        <v>17</v>
      </c>
      <c r="AL82" s="3" t="s">
        <v>9</v>
      </c>
      <c r="AM82" s="3" t="s">
        <v>9</v>
      </c>
    </row>
    <row r="83" spans="12:40" ht="15.75">
      <c r="M83" s="8">
        <f t="shared" si="7"/>
        <v>18</v>
      </c>
      <c r="N83" s="10">
        <f>(4.8*(Table1[[#This Row],[Sample Description]]-1)+63.8)</f>
        <v>145.39999999999998</v>
      </c>
      <c r="O83" s="10">
        <f>(0.86*(Table1[[#This Row],[Sample Description]]-1)+11.34)</f>
        <v>25.96</v>
      </c>
      <c r="U83" s="8">
        <f t="shared" si="4"/>
        <v>18</v>
      </c>
      <c r="V83" s="10">
        <f>(5.6*(Table1_3[[#This Row],[Sample Description]]-1)+78.7)</f>
        <v>173.89999999999998</v>
      </c>
      <c r="W83" s="10">
        <f>(1*(Table1_3[[#This Row],[Sample Description]]-1)+13.99)</f>
        <v>30.990000000000002</v>
      </c>
      <c r="AC83" s="8">
        <f t="shared" si="5"/>
        <v>18</v>
      </c>
      <c r="AD83" s="10">
        <f>(3.1*(Table1_34[[#This Row],[Sample Description]]-2)+77)</f>
        <v>126.6</v>
      </c>
      <c r="AE83" s="10">
        <f>(0.55*(Table1_34[[#This Row],[Sample Description]]-2)+13.69)</f>
        <v>22.490000000000002</v>
      </c>
      <c r="AK83" s="8">
        <f t="shared" si="6"/>
        <v>18</v>
      </c>
      <c r="AL83" s="3" t="s">
        <v>9</v>
      </c>
      <c r="AM83" s="3" t="s">
        <v>9</v>
      </c>
    </row>
    <row r="84" spans="12:40" ht="15.75">
      <c r="M84" s="8">
        <f t="shared" si="7"/>
        <v>19</v>
      </c>
      <c r="N84" s="10">
        <f>(4.8*(Table1[[#This Row],[Sample Description]]-1)+63.8)</f>
        <v>150.19999999999999</v>
      </c>
      <c r="O84" s="10">
        <f>(0.86*(Table1[[#This Row],[Sample Description]]-1)+11.34)</f>
        <v>26.82</v>
      </c>
      <c r="U84" s="8">
        <f t="shared" si="4"/>
        <v>19</v>
      </c>
      <c r="V84" s="10">
        <f>(5.6*(Table1_3[[#This Row],[Sample Description]]-1)+78.7)</f>
        <v>179.5</v>
      </c>
      <c r="W84" s="10">
        <f>(1*(Table1_3[[#This Row],[Sample Description]]-1)+13.99)</f>
        <v>31.990000000000002</v>
      </c>
      <c r="AC84" s="8">
        <f t="shared" si="5"/>
        <v>19</v>
      </c>
      <c r="AD84" s="10">
        <f>(3.1*(Table1_34[[#This Row],[Sample Description]]-2)+77)</f>
        <v>129.69999999999999</v>
      </c>
      <c r="AE84" s="10">
        <f>(0.55*(Table1_34[[#This Row],[Sample Description]]-2)+13.69)</f>
        <v>23.04</v>
      </c>
      <c r="AK84" s="8">
        <f t="shared" si="6"/>
        <v>19</v>
      </c>
      <c r="AL84" s="3" t="s">
        <v>9</v>
      </c>
      <c r="AM84" s="3" t="s">
        <v>9</v>
      </c>
    </row>
    <row r="85" spans="12:40" ht="15.75">
      <c r="M85" s="8">
        <f t="shared" si="7"/>
        <v>20</v>
      </c>
      <c r="N85" s="10">
        <f>(4.8*(Table1[[#This Row],[Sample Description]]-1)+63.8)</f>
        <v>155</v>
      </c>
      <c r="O85" s="10">
        <f>(0.86*(Table1[[#This Row],[Sample Description]]-1)+11.34)</f>
        <v>27.68</v>
      </c>
      <c r="U85" s="8">
        <f t="shared" si="4"/>
        <v>20</v>
      </c>
      <c r="V85" s="10">
        <f>(5.6*(Table1_3[[#This Row],[Sample Description]]-1)+78.7)</f>
        <v>185.1</v>
      </c>
      <c r="W85" s="10">
        <f>(1*(Table1_3[[#This Row],[Sample Description]]-1)+13.99)</f>
        <v>32.99</v>
      </c>
      <c r="AC85" s="8">
        <f t="shared" si="5"/>
        <v>20</v>
      </c>
      <c r="AD85" s="10">
        <f>(3.1*(Table1_34[[#This Row],[Sample Description]]-2)+77)</f>
        <v>132.80000000000001</v>
      </c>
      <c r="AE85" s="10">
        <f>(0.55*(Table1_34[[#This Row],[Sample Description]]-2)+13.69)</f>
        <v>23.59</v>
      </c>
      <c r="AK85" s="8">
        <f t="shared" si="6"/>
        <v>20</v>
      </c>
      <c r="AL85" s="3" t="s">
        <v>9</v>
      </c>
      <c r="AM85" s="3" t="s">
        <v>9</v>
      </c>
    </row>
    <row r="86" spans="12:40" ht="15.75">
      <c r="L86" s="3"/>
      <c r="M86" s="3">
        <v>1</v>
      </c>
      <c r="N86" s="3">
        <v>77.2</v>
      </c>
      <c r="O86" s="3">
        <v>13.72</v>
      </c>
      <c r="P86" s="3"/>
      <c r="T86" s="3"/>
      <c r="U86" s="3">
        <v>1</v>
      </c>
      <c r="V86" s="5">
        <v>101</v>
      </c>
      <c r="W86" s="5">
        <v>17.96</v>
      </c>
      <c r="X86" s="5"/>
      <c r="AB86" s="3"/>
      <c r="AC86" s="3">
        <v>1</v>
      </c>
      <c r="AD86" s="5">
        <v>73.5</v>
      </c>
      <c r="AE86" s="5">
        <v>13.07</v>
      </c>
      <c r="AF86" s="3"/>
      <c r="AJ86" s="3"/>
      <c r="AK86" s="3">
        <v>1</v>
      </c>
      <c r="AL86" s="3" t="s">
        <v>9</v>
      </c>
      <c r="AM86" s="3" t="s">
        <v>9</v>
      </c>
      <c r="AN86" s="3"/>
    </row>
    <row r="87" spans="12:40" ht="15.75">
      <c r="L87" s="3"/>
      <c r="M87" s="3">
        <v>2</v>
      </c>
      <c r="N87" s="3">
        <v>80.900000000000006</v>
      </c>
      <c r="O87" s="3">
        <v>14.38</v>
      </c>
      <c r="P87" s="3"/>
      <c r="T87" s="3"/>
      <c r="U87" s="3">
        <v>2</v>
      </c>
      <c r="V87" s="5">
        <v>73.5</v>
      </c>
      <c r="W87" s="5">
        <v>13.07</v>
      </c>
      <c r="X87" s="5"/>
      <c r="AB87" s="3"/>
      <c r="AC87" s="3">
        <v>2</v>
      </c>
      <c r="AD87" s="5">
        <v>89</v>
      </c>
      <c r="AE87" s="5">
        <v>15.82</v>
      </c>
      <c r="AF87" s="3"/>
      <c r="AJ87" s="3"/>
      <c r="AK87" s="3">
        <v>2</v>
      </c>
      <c r="AL87" s="3" t="s">
        <v>9</v>
      </c>
      <c r="AM87" s="3" t="s">
        <v>9</v>
      </c>
      <c r="AN87" s="3"/>
    </row>
    <row r="88" spans="12:40" ht="15.75">
      <c r="L88" s="3"/>
      <c r="M88" s="3">
        <v>3</v>
      </c>
      <c r="N88" s="3">
        <v>69.400000000000006</v>
      </c>
      <c r="O88" s="3">
        <v>12.34</v>
      </c>
      <c r="P88" s="3"/>
      <c r="T88" s="3"/>
      <c r="U88" s="3">
        <v>3</v>
      </c>
      <c r="V88" s="5">
        <v>85.5</v>
      </c>
      <c r="W88" s="5">
        <v>15.2</v>
      </c>
      <c r="X88" s="5"/>
      <c r="AB88" s="3"/>
      <c r="AC88" s="3">
        <v>3</v>
      </c>
      <c r="AD88" s="5">
        <v>69.2</v>
      </c>
      <c r="AE88" s="5">
        <v>12.3</v>
      </c>
      <c r="AF88" s="3"/>
      <c r="AJ88" s="3"/>
      <c r="AK88" s="3">
        <v>3</v>
      </c>
      <c r="AL88" s="3" t="s">
        <v>9</v>
      </c>
      <c r="AM88" s="3" t="s">
        <v>9</v>
      </c>
      <c r="AN88" s="3"/>
    </row>
    <row r="89" spans="12:40" ht="15.75">
      <c r="M89" s="8">
        <f>M88+1</f>
        <v>4</v>
      </c>
      <c r="N89" s="10">
        <f>(3.7*(Table1[[#This Row],[Sample Description]]-1)+77.2)</f>
        <v>88.300000000000011</v>
      </c>
      <c r="O89" s="10">
        <f>(0.66*(Table1[[#This Row],[Sample Description]]-1)+13.72)</f>
        <v>15.700000000000001</v>
      </c>
      <c r="U89" s="8">
        <f t="shared" ref="U89:U105" si="8">U88+1</f>
        <v>4</v>
      </c>
      <c r="V89" s="10">
        <f>(12*(Table1_3[[#This Row],[Sample Description]]-2)+73.5)</f>
        <v>97.5</v>
      </c>
      <c r="W89" s="10">
        <f>(2.13*(Table1_3[[#This Row],[Sample Description]]-2)+13.07)</f>
        <v>17.329999999999998</v>
      </c>
      <c r="AC89" s="8">
        <f t="shared" ref="AC89:AC105" si="9">AC88+1</f>
        <v>4</v>
      </c>
      <c r="AD89" s="10">
        <f>(-2.15*(Table1_34[[#This Row],[Sample Description]]-1)+73.5)</f>
        <v>67.05</v>
      </c>
      <c r="AE89" s="10">
        <f>(-0.385*(Table1_34[[#This Row],[Sample Description]]-1)+13.07)</f>
        <v>11.915000000000001</v>
      </c>
      <c r="AK89" s="8">
        <f t="shared" ref="AK89:AK105" si="10">AK88+1</f>
        <v>4</v>
      </c>
      <c r="AL89" s="3" t="s">
        <v>9</v>
      </c>
      <c r="AM89" s="3" t="s">
        <v>9</v>
      </c>
    </row>
    <row r="90" spans="12:40" ht="15.75">
      <c r="M90" s="8">
        <f t="shared" ref="M90:M105" si="11">M89+1</f>
        <v>5</v>
      </c>
      <c r="N90" s="10">
        <f>(3.7*(Table1[[#This Row],[Sample Description]]-1)+77.2)</f>
        <v>92</v>
      </c>
      <c r="O90" s="10">
        <f>(0.66*(Table1[[#This Row],[Sample Description]]-1)+13.72)</f>
        <v>16.36</v>
      </c>
      <c r="U90" s="8">
        <f t="shared" si="8"/>
        <v>5</v>
      </c>
      <c r="V90" s="10">
        <f>(12*(Table1_3[[#This Row],[Sample Description]]-2)+73.5)</f>
        <v>109.5</v>
      </c>
      <c r="W90" s="10">
        <f>(2.13*(Table1_3[[#This Row],[Sample Description]]-2)+13.07)</f>
        <v>19.46</v>
      </c>
      <c r="AC90" s="8">
        <f t="shared" si="9"/>
        <v>5</v>
      </c>
      <c r="AD90" s="10">
        <f>(-2.15*(Table1_34[[#This Row],[Sample Description]]-1)+73.5)</f>
        <v>64.900000000000006</v>
      </c>
      <c r="AE90" s="10">
        <f>(-0.385*(Table1_34[[#This Row],[Sample Description]]-1)+13.07)</f>
        <v>11.530000000000001</v>
      </c>
      <c r="AK90" s="8">
        <f t="shared" si="10"/>
        <v>5</v>
      </c>
      <c r="AL90" s="3" t="s">
        <v>9</v>
      </c>
      <c r="AM90" s="3" t="s">
        <v>9</v>
      </c>
    </row>
    <row r="91" spans="12:40" ht="15.75">
      <c r="M91" s="8">
        <f t="shared" si="11"/>
        <v>6</v>
      </c>
      <c r="N91" s="10">
        <f>(3.7*(Table1[[#This Row],[Sample Description]]-1)+77.2)</f>
        <v>95.7</v>
      </c>
      <c r="O91" s="10">
        <f>(0.66*(Table1[[#This Row],[Sample Description]]-1)+13.72)</f>
        <v>17.02</v>
      </c>
      <c r="U91" s="8">
        <f t="shared" si="8"/>
        <v>6</v>
      </c>
      <c r="V91" s="10">
        <f>(12*(Table1_3[[#This Row],[Sample Description]]-2)+73.5)</f>
        <v>121.5</v>
      </c>
      <c r="W91" s="10">
        <f>(2.13*(Table1_3[[#This Row],[Sample Description]]-2)+13.07)</f>
        <v>21.59</v>
      </c>
      <c r="AC91" s="8">
        <f t="shared" si="9"/>
        <v>6</v>
      </c>
      <c r="AD91" s="10">
        <f>(-2.15*(Table1_34[[#This Row],[Sample Description]]-1)+73.5)</f>
        <v>62.75</v>
      </c>
      <c r="AE91" s="10">
        <f>(-0.385*(Table1_34[[#This Row],[Sample Description]]-1)+13.07)</f>
        <v>11.145</v>
      </c>
      <c r="AK91" s="8">
        <f t="shared" si="10"/>
        <v>6</v>
      </c>
      <c r="AL91" s="3" t="s">
        <v>9</v>
      </c>
      <c r="AM91" s="3" t="s">
        <v>9</v>
      </c>
    </row>
    <row r="92" spans="12:40" ht="15.75">
      <c r="M92" s="8">
        <f t="shared" si="11"/>
        <v>7</v>
      </c>
      <c r="N92" s="10">
        <f>(3.7*(Table1[[#This Row],[Sample Description]]-1)+77.2)</f>
        <v>99.4</v>
      </c>
      <c r="O92" s="10">
        <f>(0.66*(Table1[[#This Row],[Sample Description]]-1)+13.72)</f>
        <v>17.68</v>
      </c>
      <c r="U92" s="8">
        <f t="shared" si="8"/>
        <v>7</v>
      </c>
      <c r="V92" s="10">
        <f>(12*(Table1_3[[#This Row],[Sample Description]]-2)+73.5)</f>
        <v>133.5</v>
      </c>
      <c r="W92" s="10">
        <f>(2.13*(Table1_3[[#This Row],[Sample Description]]-2)+13.07)</f>
        <v>23.72</v>
      </c>
      <c r="AC92" s="8">
        <f t="shared" si="9"/>
        <v>7</v>
      </c>
      <c r="AD92" s="10">
        <f>(-2.15*(Table1_34[[#This Row],[Sample Description]]-1)+73.5)</f>
        <v>60.6</v>
      </c>
      <c r="AE92" s="10">
        <f>(-0.385*(Table1_34[[#This Row],[Sample Description]]-1)+13.07)</f>
        <v>10.76</v>
      </c>
      <c r="AK92" s="8">
        <f t="shared" si="10"/>
        <v>7</v>
      </c>
      <c r="AL92" s="3" t="s">
        <v>9</v>
      </c>
      <c r="AM92" s="3" t="s">
        <v>9</v>
      </c>
    </row>
    <row r="93" spans="12:40" ht="15.75">
      <c r="M93" s="8">
        <f t="shared" si="11"/>
        <v>8</v>
      </c>
      <c r="N93" s="10">
        <f>(3.7*(Table1[[#This Row],[Sample Description]]-1)+77.2)</f>
        <v>103.10000000000001</v>
      </c>
      <c r="O93" s="10">
        <f>(0.66*(Table1[[#This Row],[Sample Description]]-1)+13.72)</f>
        <v>18.34</v>
      </c>
      <c r="U93" s="8">
        <f t="shared" si="8"/>
        <v>8</v>
      </c>
      <c r="V93" s="10">
        <f>(12*(Table1_3[[#This Row],[Sample Description]]-2)+73.5)</f>
        <v>145.5</v>
      </c>
      <c r="W93" s="10">
        <f>(2.13*(Table1_3[[#This Row],[Sample Description]]-2)+13.07)</f>
        <v>25.85</v>
      </c>
      <c r="AC93" s="8">
        <f t="shared" si="9"/>
        <v>8</v>
      </c>
      <c r="AD93" s="10">
        <f>(-2.15*(Table1_34[[#This Row],[Sample Description]]-1)+73.5)</f>
        <v>58.45</v>
      </c>
      <c r="AE93" s="10">
        <f>(-0.385*(Table1_34[[#This Row],[Sample Description]]-1)+13.07)</f>
        <v>10.375</v>
      </c>
      <c r="AK93" s="8">
        <f t="shared" si="10"/>
        <v>8</v>
      </c>
      <c r="AL93" s="3" t="s">
        <v>9</v>
      </c>
      <c r="AM93" s="3" t="s">
        <v>9</v>
      </c>
    </row>
    <row r="94" spans="12:40" ht="15.75">
      <c r="M94" s="8">
        <f t="shared" si="11"/>
        <v>9</v>
      </c>
      <c r="N94" s="10">
        <f>(3.7*(Table1[[#This Row],[Sample Description]]-1)+77.2)</f>
        <v>106.80000000000001</v>
      </c>
      <c r="O94" s="10">
        <f>(0.66*(Table1[[#This Row],[Sample Description]]-1)+13.72)</f>
        <v>19</v>
      </c>
      <c r="U94" s="8">
        <f t="shared" si="8"/>
        <v>9</v>
      </c>
      <c r="V94" s="10">
        <f>(12*(Table1_3[[#This Row],[Sample Description]]-2)+73.5)</f>
        <v>157.5</v>
      </c>
      <c r="W94" s="10">
        <f>(2.13*(Table1_3[[#This Row],[Sample Description]]-2)+13.07)</f>
        <v>27.98</v>
      </c>
      <c r="AC94" s="8">
        <f t="shared" si="9"/>
        <v>9</v>
      </c>
      <c r="AD94" s="10">
        <f>(-2.15*(Table1_34[[#This Row],[Sample Description]]-1)+73.5)</f>
        <v>56.3</v>
      </c>
      <c r="AE94" s="10">
        <f>(-0.385*(Table1_34[[#This Row],[Sample Description]]-1)+13.07)</f>
        <v>9.99</v>
      </c>
      <c r="AK94" s="8">
        <f t="shared" si="10"/>
        <v>9</v>
      </c>
      <c r="AL94" s="3" t="s">
        <v>9</v>
      </c>
      <c r="AM94" s="3" t="s">
        <v>9</v>
      </c>
    </row>
    <row r="95" spans="12:40" ht="15.75">
      <c r="L95" s="12" t="s">
        <v>14</v>
      </c>
      <c r="M95" s="8">
        <f t="shared" si="11"/>
        <v>10</v>
      </c>
      <c r="N95" s="10">
        <f>(3.7*(Table1[[#This Row],[Sample Description]]-1)+77.2)</f>
        <v>110.5</v>
      </c>
      <c r="O95" s="10">
        <f>(0.66*(Table1[[#This Row],[Sample Description]]-1)+13.72)</f>
        <v>19.66</v>
      </c>
      <c r="P95">
        <f>(SUM(O86:O105))/20</f>
        <v>19.854999999999997</v>
      </c>
      <c r="T95" s="12" t="s">
        <v>14</v>
      </c>
      <c r="U95" s="8">
        <f t="shared" si="8"/>
        <v>10</v>
      </c>
      <c r="V95" s="10">
        <f>(12*(Table1_3[[#This Row],[Sample Description]]-2)+73.5)</f>
        <v>169.5</v>
      </c>
      <c r="W95" s="10">
        <f>(2.13*(Table1_3[[#This Row],[Sample Description]]-2)+13.07)</f>
        <v>30.11</v>
      </c>
      <c r="X95">
        <f>(SUM(W86:W105)/20)</f>
        <v>31.525999999999993</v>
      </c>
      <c r="AB95" s="12" t="s">
        <v>14</v>
      </c>
      <c r="AC95" s="8">
        <f t="shared" si="9"/>
        <v>10</v>
      </c>
      <c r="AD95" s="10">
        <f>(-2.15*(Table1_34[[#This Row],[Sample Description]]-1)+73.5)</f>
        <v>54.150000000000006</v>
      </c>
      <c r="AE95" s="10">
        <f>(-0.385*(Table1_34[[#This Row],[Sample Description]]-1)+13.07)</f>
        <v>9.6050000000000004</v>
      </c>
      <c r="AF95">
        <f>(SUM(AE86:AE105)/20)</f>
        <v>9.5692500000000003</v>
      </c>
      <c r="AJ95" s="12" t="s">
        <v>14</v>
      </c>
      <c r="AK95" s="8">
        <f t="shared" si="10"/>
        <v>10</v>
      </c>
      <c r="AL95" s="3" t="s">
        <v>9</v>
      </c>
      <c r="AM95" s="3" t="s">
        <v>9</v>
      </c>
      <c r="AN95" s="10" t="s">
        <v>9</v>
      </c>
    </row>
    <row r="96" spans="12:40" ht="15.75">
      <c r="M96" s="8">
        <f t="shared" si="11"/>
        <v>11</v>
      </c>
      <c r="N96" s="10">
        <f>(3.7*(Table1[[#This Row],[Sample Description]]-1)+77.2)</f>
        <v>114.2</v>
      </c>
      <c r="O96" s="10">
        <f>(0.66*(Table1[[#This Row],[Sample Description]]-1)+13.72)</f>
        <v>20.32</v>
      </c>
      <c r="U96" s="8">
        <f t="shared" si="8"/>
        <v>11</v>
      </c>
      <c r="V96" s="10">
        <f>(12*(Table1_3[[#This Row],[Sample Description]]-2)+73.5)</f>
        <v>181.5</v>
      </c>
      <c r="W96" s="10">
        <f>(2.13*(Table1_3[[#This Row],[Sample Description]]-2)+13.07)</f>
        <v>32.239999999999995</v>
      </c>
      <c r="AC96" s="8">
        <f t="shared" si="9"/>
        <v>11</v>
      </c>
      <c r="AD96" s="10">
        <f>(-2.15*(Table1_34[[#This Row],[Sample Description]]-1)+73.5)</f>
        <v>52</v>
      </c>
      <c r="AE96" s="10">
        <f>(-0.385*(Table1_34[[#This Row],[Sample Description]]-1)+13.07)</f>
        <v>9.2200000000000006</v>
      </c>
      <c r="AK96" s="8">
        <f t="shared" si="10"/>
        <v>11</v>
      </c>
      <c r="AL96" s="3" t="s">
        <v>9</v>
      </c>
      <c r="AM96" s="3" t="s">
        <v>9</v>
      </c>
    </row>
    <row r="97" spans="12:40" ht="15.75">
      <c r="M97" s="8">
        <f t="shared" si="11"/>
        <v>12</v>
      </c>
      <c r="N97" s="10">
        <f>(3.7*(Table1[[#This Row],[Sample Description]]-1)+77.2)</f>
        <v>117.9</v>
      </c>
      <c r="O97" s="10">
        <f>(0.66*(Table1[[#This Row],[Sample Description]]-1)+13.72)</f>
        <v>20.98</v>
      </c>
      <c r="U97" s="8">
        <f t="shared" si="8"/>
        <v>12</v>
      </c>
      <c r="V97" s="10">
        <f>(12*(Table1_3[[#This Row],[Sample Description]]-2)+73.5)</f>
        <v>193.5</v>
      </c>
      <c r="W97" s="10">
        <f>(2.13*(Table1_3[[#This Row],[Sample Description]]-2)+13.07)</f>
        <v>34.369999999999997</v>
      </c>
      <c r="AC97" s="8">
        <f t="shared" si="9"/>
        <v>12</v>
      </c>
      <c r="AD97" s="10">
        <f>(-2.15*(Table1_34[[#This Row],[Sample Description]]-1)+73.5)</f>
        <v>49.85</v>
      </c>
      <c r="AE97" s="10">
        <f>(-0.385*(Table1_34[[#This Row],[Sample Description]]-1)+13.07)</f>
        <v>8.8350000000000009</v>
      </c>
      <c r="AK97" s="8">
        <f t="shared" si="10"/>
        <v>12</v>
      </c>
      <c r="AL97" s="3" t="s">
        <v>9</v>
      </c>
      <c r="AM97" s="3" t="s">
        <v>9</v>
      </c>
    </row>
    <row r="98" spans="12:40" ht="15.75">
      <c r="M98" s="8">
        <f t="shared" si="11"/>
        <v>13</v>
      </c>
      <c r="N98" s="10">
        <f>(3.7*(Table1[[#This Row],[Sample Description]]-1)+77.2)</f>
        <v>121.60000000000001</v>
      </c>
      <c r="O98" s="10">
        <f>(0.66*(Table1[[#This Row],[Sample Description]]-1)+13.72)</f>
        <v>21.64</v>
      </c>
      <c r="U98" s="8">
        <f t="shared" si="8"/>
        <v>13</v>
      </c>
      <c r="V98" s="10">
        <f>(12*(Table1_3[[#This Row],[Sample Description]]-2)+73.5)</f>
        <v>205.5</v>
      </c>
      <c r="W98" s="10">
        <f>(2.13*(Table1_3[[#This Row],[Sample Description]]-2)+13.07)</f>
        <v>36.5</v>
      </c>
      <c r="AC98" s="8">
        <f t="shared" si="9"/>
        <v>13</v>
      </c>
      <c r="AD98" s="10">
        <f>(-2.15*(Table1_34[[#This Row],[Sample Description]]-1)+73.5)</f>
        <v>47.7</v>
      </c>
      <c r="AE98" s="10">
        <f>(-0.385*(Table1_34[[#This Row],[Sample Description]]-1)+13.07)</f>
        <v>8.4499999999999993</v>
      </c>
      <c r="AK98" s="8">
        <f t="shared" si="10"/>
        <v>13</v>
      </c>
      <c r="AL98" s="3" t="s">
        <v>9</v>
      </c>
      <c r="AM98" s="3" t="s">
        <v>9</v>
      </c>
    </row>
    <row r="99" spans="12:40" ht="15.75">
      <c r="M99" s="8">
        <f t="shared" si="11"/>
        <v>14</v>
      </c>
      <c r="N99" s="10">
        <f>(3.7*(Table1[[#This Row],[Sample Description]]-1)+77.2)</f>
        <v>125.30000000000001</v>
      </c>
      <c r="O99" s="10">
        <f>(0.66*(Table1[[#This Row],[Sample Description]]-1)+13.72)</f>
        <v>22.3</v>
      </c>
      <c r="U99" s="8">
        <f t="shared" si="8"/>
        <v>14</v>
      </c>
      <c r="V99" s="10">
        <f>(12*(Table1_3[[#This Row],[Sample Description]]-2)+73.5)</f>
        <v>217.5</v>
      </c>
      <c r="W99" s="10">
        <f>(2.13*(Table1_3[[#This Row],[Sample Description]]-2)+13.07)</f>
        <v>38.629999999999995</v>
      </c>
      <c r="AC99" s="8">
        <f t="shared" si="9"/>
        <v>14</v>
      </c>
      <c r="AD99" s="10">
        <f>(-2.15*(Table1_34[[#This Row],[Sample Description]]-1)+73.5)</f>
        <v>45.55</v>
      </c>
      <c r="AE99" s="10">
        <f>(-0.385*(Table1_34[[#This Row],[Sample Description]]-1)+13.07)</f>
        <v>8.0650000000000013</v>
      </c>
      <c r="AK99" s="8">
        <f t="shared" si="10"/>
        <v>14</v>
      </c>
      <c r="AL99" s="3" t="s">
        <v>9</v>
      </c>
      <c r="AM99" s="3" t="s">
        <v>9</v>
      </c>
    </row>
    <row r="100" spans="12:40" ht="15.75">
      <c r="M100" s="8">
        <f t="shared" si="11"/>
        <v>15</v>
      </c>
      <c r="N100" s="10">
        <f>(3.7*(Table1[[#This Row],[Sample Description]]-1)+77.2)</f>
        <v>129</v>
      </c>
      <c r="O100" s="10">
        <f>(0.66*(Table1[[#This Row],[Sample Description]]-1)+13.72)</f>
        <v>22.96</v>
      </c>
      <c r="U100" s="8">
        <f t="shared" si="8"/>
        <v>15</v>
      </c>
      <c r="V100" s="10">
        <f>(12*(Table1_3[[#This Row],[Sample Description]]-2)+73.5)</f>
        <v>229.5</v>
      </c>
      <c r="W100" s="10">
        <f>(2.13*(Table1_3[[#This Row],[Sample Description]]-2)+13.07)</f>
        <v>40.76</v>
      </c>
      <c r="AC100" s="8">
        <f t="shared" si="9"/>
        <v>15</v>
      </c>
      <c r="AD100" s="10">
        <f>(-2.15*(Table1_34[[#This Row],[Sample Description]]-1)+73.5)</f>
        <v>43.400000000000006</v>
      </c>
      <c r="AE100" s="10">
        <f>(-0.385*(Table1_34[[#This Row],[Sample Description]]-1)+13.07)</f>
        <v>7.68</v>
      </c>
      <c r="AK100" s="8">
        <f t="shared" si="10"/>
        <v>15</v>
      </c>
      <c r="AL100" s="3" t="s">
        <v>9</v>
      </c>
      <c r="AM100" s="3" t="s">
        <v>9</v>
      </c>
    </row>
    <row r="101" spans="12:40" ht="15.75">
      <c r="M101" s="8">
        <f t="shared" si="11"/>
        <v>16</v>
      </c>
      <c r="N101" s="10">
        <f>(3.7*(Table1[[#This Row],[Sample Description]]-1)+77.2)</f>
        <v>132.69999999999999</v>
      </c>
      <c r="O101" s="10">
        <f>(0.66*(Table1[[#This Row],[Sample Description]]-1)+13.72)</f>
        <v>23.62</v>
      </c>
      <c r="U101" s="8">
        <f t="shared" si="8"/>
        <v>16</v>
      </c>
      <c r="V101" s="10">
        <f>(12*(Table1_3[[#This Row],[Sample Description]]-2)+73.5)</f>
        <v>241.5</v>
      </c>
      <c r="W101" s="10">
        <f>(2.13*(Table1_3[[#This Row],[Sample Description]]-2)+13.07)</f>
        <v>42.89</v>
      </c>
      <c r="AC101" s="8">
        <f t="shared" si="9"/>
        <v>16</v>
      </c>
      <c r="AD101" s="10">
        <f>(-2.15*(Table1_34[[#This Row],[Sample Description]]-1)+73.5)</f>
        <v>41.25</v>
      </c>
      <c r="AE101" s="10">
        <f>(-0.385*(Table1_34[[#This Row],[Sample Description]]-1)+13.07)</f>
        <v>7.2949999999999999</v>
      </c>
      <c r="AK101" s="8">
        <f t="shared" si="10"/>
        <v>16</v>
      </c>
      <c r="AL101" s="3" t="s">
        <v>9</v>
      </c>
      <c r="AM101" s="3" t="s">
        <v>9</v>
      </c>
    </row>
    <row r="102" spans="12:40" ht="15.75">
      <c r="M102" s="8">
        <f t="shared" si="11"/>
        <v>17</v>
      </c>
      <c r="N102" s="10">
        <f>(3.7*(Table1[[#This Row],[Sample Description]]-1)+77.2)</f>
        <v>136.4</v>
      </c>
      <c r="O102" s="10">
        <f>(0.66*(Table1[[#This Row],[Sample Description]]-1)+13.72)</f>
        <v>24.28</v>
      </c>
      <c r="U102" s="8">
        <f t="shared" si="8"/>
        <v>17</v>
      </c>
      <c r="V102" s="10">
        <f>(12*(Table1_3[[#This Row],[Sample Description]]-2)+73.5)</f>
        <v>253.5</v>
      </c>
      <c r="W102" s="10">
        <f>(2.13*(Table1_3[[#This Row],[Sample Description]]-2)+13.07)</f>
        <v>45.019999999999996</v>
      </c>
      <c r="AC102" s="8">
        <f t="shared" si="9"/>
        <v>17</v>
      </c>
      <c r="AD102" s="10">
        <f>(-2.15*(Table1_34[[#This Row],[Sample Description]]-1)+73.5)</f>
        <v>39.1</v>
      </c>
      <c r="AE102" s="10">
        <f>(-0.385*(Table1_34[[#This Row],[Sample Description]]-1)+13.07)</f>
        <v>6.91</v>
      </c>
      <c r="AK102" s="8">
        <f t="shared" si="10"/>
        <v>17</v>
      </c>
      <c r="AL102" s="3" t="s">
        <v>9</v>
      </c>
      <c r="AM102" s="3" t="s">
        <v>9</v>
      </c>
    </row>
    <row r="103" spans="12:40" ht="15.75">
      <c r="M103" s="8">
        <f t="shared" si="11"/>
        <v>18</v>
      </c>
      <c r="N103" s="10">
        <f>(3.7*(Table1[[#This Row],[Sample Description]]-1)+77.2)</f>
        <v>140.10000000000002</v>
      </c>
      <c r="O103" s="10">
        <f>(0.66*(Table1[[#This Row],[Sample Description]]-1)+13.72)</f>
        <v>24.94</v>
      </c>
      <c r="U103" s="8">
        <f t="shared" si="8"/>
        <v>18</v>
      </c>
      <c r="V103" s="10">
        <f>(12*(Table1_3[[#This Row],[Sample Description]]-2)+73.5)</f>
        <v>265.5</v>
      </c>
      <c r="W103" s="10">
        <f>(2.13*(Table1_3[[#This Row],[Sample Description]]-2)+13.07)</f>
        <v>47.15</v>
      </c>
      <c r="AC103" s="8">
        <f t="shared" si="9"/>
        <v>18</v>
      </c>
      <c r="AD103" s="10">
        <f>(-2.15*(Table1_34[[#This Row],[Sample Description]]-1)+73.5)</f>
        <v>36.950000000000003</v>
      </c>
      <c r="AE103" s="10">
        <f>(-0.385*(Table1_34[[#This Row],[Sample Description]]-1)+13.07)</f>
        <v>6.5250000000000004</v>
      </c>
      <c r="AK103" s="8">
        <f t="shared" si="10"/>
        <v>18</v>
      </c>
      <c r="AL103" s="3" t="s">
        <v>9</v>
      </c>
      <c r="AM103" s="3" t="s">
        <v>9</v>
      </c>
    </row>
    <row r="104" spans="12:40" ht="15.75">
      <c r="M104" s="8">
        <f t="shared" si="11"/>
        <v>19</v>
      </c>
      <c r="N104" s="10">
        <f>(3.7*(Table1[[#This Row],[Sample Description]]-1)+77.2)</f>
        <v>143.80000000000001</v>
      </c>
      <c r="O104" s="10">
        <f>(0.66*(Table1[[#This Row],[Sample Description]]-1)+13.72)</f>
        <v>25.6</v>
      </c>
      <c r="U104" s="8">
        <f t="shared" si="8"/>
        <v>19</v>
      </c>
      <c r="V104" s="10">
        <f>(12*(Table1_3[[#This Row],[Sample Description]]-2)+73.5)</f>
        <v>277.5</v>
      </c>
      <c r="W104" s="10">
        <f>(2.13*(Table1_3[[#This Row],[Sample Description]]-2)+13.07)</f>
        <v>49.28</v>
      </c>
      <c r="AC104" s="8">
        <f t="shared" si="9"/>
        <v>19</v>
      </c>
      <c r="AD104" s="10">
        <f>(-2.15*(Table1_34[[#This Row],[Sample Description]]-1)+73.5)</f>
        <v>34.800000000000004</v>
      </c>
      <c r="AE104" s="10">
        <f>(-0.385*(Table1_34[[#This Row],[Sample Description]]-1)+13.07)</f>
        <v>6.1400000000000006</v>
      </c>
      <c r="AK104" s="8">
        <f t="shared" si="10"/>
        <v>19</v>
      </c>
      <c r="AL104" s="3" t="s">
        <v>9</v>
      </c>
      <c r="AM104" s="3" t="s">
        <v>9</v>
      </c>
    </row>
    <row r="105" spans="12:40" ht="15.75">
      <c r="M105" s="8">
        <f t="shared" si="11"/>
        <v>20</v>
      </c>
      <c r="N105" s="10">
        <f>(3.7*(Table1[[#This Row],[Sample Description]]-1)+77.2)</f>
        <v>147.5</v>
      </c>
      <c r="O105" s="10">
        <f>(0.66*(Table1[[#This Row],[Sample Description]]-1)+13.72)</f>
        <v>26.26</v>
      </c>
      <c r="U105" s="8">
        <f t="shared" si="8"/>
        <v>20</v>
      </c>
      <c r="V105" s="10">
        <f>(12*(Table1_3[[#This Row],[Sample Description]]-2)+73.5)</f>
        <v>289.5</v>
      </c>
      <c r="W105" s="10">
        <f>(2.13*(Table1_3[[#This Row],[Sample Description]]-2)+13.07)</f>
        <v>51.41</v>
      </c>
      <c r="AC105" s="8">
        <f t="shared" si="9"/>
        <v>20</v>
      </c>
      <c r="AD105" s="10">
        <f>(-2.15*(Table1_34[[#This Row],[Sample Description]]-1)+73.5)</f>
        <v>32.65</v>
      </c>
      <c r="AE105" s="10">
        <f>(-0.385*(Table1_34[[#This Row],[Sample Description]]-1)+13.07)</f>
        <v>5.7549999999999999</v>
      </c>
      <c r="AK105" s="8">
        <f t="shared" si="10"/>
        <v>20</v>
      </c>
      <c r="AL105" s="3" t="s">
        <v>9</v>
      </c>
      <c r="AM105" s="3" t="s">
        <v>9</v>
      </c>
    </row>
    <row r="106" spans="12:40" ht="15.75">
      <c r="L106" s="3"/>
      <c r="M106" s="3">
        <v>1</v>
      </c>
      <c r="N106" s="3">
        <v>75.2</v>
      </c>
      <c r="O106" s="3">
        <v>13.37</v>
      </c>
      <c r="P106" s="3"/>
      <c r="T106" s="3"/>
      <c r="U106" s="3">
        <v>1</v>
      </c>
      <c r="V106" s="5">
        <v>65.099999999999994</v>
      </c>
      <c r="W106" s="5">
        <v>11.57</v>
      </c>
      <c r="X106" s="5"/>
      <c r="AB106" s="3"/>
      <c r="AC106" s="3">
        <v>1</v>
      </c>
      <c r="AD106" s="5">
        <v>55.7</v>
      </c>
      <c r="AE106" s="5">
        <v>9.9</v>
      </c>
      <c r="AF106" s="3"/>
      <c r="AJ106" s="3"/>
      <c r="AK106" s="3">
        <v>1</v>
      </c>
      <c r="AL106" s="3" t="s">
        <v>9</v>
      </c>
      <c r="AM106" s="3" t="s">
        <v>9</v>
      </c>
      <c r="AN106" s="3"/>
    </row>
    <row r="107" spans="12:40" ht="15.75">
      <c r="L107" s="3"/>
      <c r="M107" s="3">
        <v>2</v>
      </c>
      <c r="N107" s="3">
        <v>61.5</v>
      </c>
      <c r="O107" s="3">
        <v>10.93</v>
      </c>
      <c r="P107" s="3"/>
      <c r="T107" s="3"/>
      <c r="U107" s="3">
        <v>2</v>
      </c>
      <c r="V107" s="5">
        <v>84.5</v>
      </c>
      <c r="W107" s="5">
        <v>15.02</v>
      </c>
      <c r="X107" s="5"/>
      <c r="AB107" s="3"/>
      <c r="AC107" s="3">
        <v>2</v>
      </c>
      <c r="AD107" s="5">
        <v>50.8</v>
      </c>
      <c r="AE107" s="5">
        <v>9.0299999999999994</v>
      </c>
      <c r="AF107" s="3"/>
      <c r="AJ107" s="3"/>
      <c r="AK107" s="3">
        <v>2</v>
      </c>
      <c r="AL107" s="3" t="s">
        <v>9</v>
      </c>
      <c r="AM107" s="3" t="s">
        <v>9</v>
      </c>
      <c r="AN107" s="3"/>
    </row>
    <row r="108" spans="12:40" ht="15.75">
      <c r="L108" s="3"/>
      <c r="M108" s="3">
        <v>3</v>
      </c>
      <c r="N108" s="3">
        <v>66.099999999999994</v>
      </c>
      <c r="O108" s="3">
        <v>11.75</v>
      </c>
      <c r="P108" s="3"/>
      <c r="T108" s="3"/>
      <c r="U108" s="3">
        <v>3</v>
      </c>
      <c r="V108" s="5">
        <v>75.099999999999994</v>
      </c>
      <c r="W108" s="5">
        <v>13.35</v>
      </c>
      <c r="X108" s="5"/>
      <c r="AB108" s="3"/>
      <c r="AC108" s="3">
        <v>3</v>
      </c>
      <c r="AD108" s="5">
        <v>71.7</v>
      </c>
      <c r="AE108" s="5">
        <v>12.75</v>
      </c>
      <c r="AF108" s="3"/>
      <c r="AJ108" s="3"/>
      <c r="AK108" s="3">
        <v>3</v>
      </c>
      <c r="AL108" s="3" t="s">
        <v>9</v>
      </c>
      <c r="AM108" s="3" t="s">
        <v>9</v>
      </c>
      <c r="AN108" s="3"/>
    </row>
    <row r="109" spans="12:40" ht="15.75">
      <c r="M109" s="8">
        <f>M108+1</f>
        <v>4</v>
      </c>
      <c r="N109" s="10">
        <f>(4.6*(Table1[[#This Row],[Sample Description]]-2)+61.5)</f>
        <v>70.7</v>
      </c>
      <c r="O109" s="10">
        <f>(0.82*(Table1[[#This Row],[Sample Description]]-2)+10.93)</f>
        <v>12.57</v>
      </c>
      <c r="U109" s="8">
        <f t="shared" ref="U109:U125" si="12">U108+1</f>
        <v>4</v>
      </c>
      <c r="V109" s="10">
        <f>(5*(Table1_3[[#This Row],[Sample Description]]-1)+65.1)</f>
        <v>80.099999999999994</v>
      </c>
      <c r="W109" s="10">
        <f>(0.89*(Table1_3[[#This Row],[Sample Description]]-1)+11.57)</f>
        <v>14.24</v>
      </c>
      <c r="AC109" s="8">
        <f t="shared" ref="AC109:AC125" si="13">AC108+1</f>
        <v>4</v>
      </c>
      <c r="AD109" s="10">
        <f>(20.9*(Table1_34[[#This Row],[Sample Description]]-2)+50.8)</f>
        <v>92.6</v>
      </c>
      <c r="AE109" s="10">
        <f>(3.73*(Table1_34[[#This Row],[Sample Description]]-2)+9.03)</f>
        <v>16.489999999999998</v>
      </c>
      <c r="AK109" s="8">
        <f t="shared" ref="AK109:AK125" si="14">AK108+1</f>
        <v>4</v>
      </c>
      <c r="AL109" s="3" t="s">
        <v>9</v>
      </c>
      <c r="AM109" s="3" t="s">
        <v>9</v>
      </c>
    </row>
    <row r="110" spans="12:40" ht="15.75">
      <c r="M110" s="8">
        <f t="shared" ref="M110:M125" si="15">M109+1</f>
        <v>5</v>
      </c>
      <c r="N110" s="10">
        <f>(4.6*(Table1[[#This Row],[Sample Description]]-2)+61.5)</f>
        <v>75.3</v>
      </c>
      <c r="O110" s="10">
        <f>(0.82*(Table1[[#This Row],[Sample Description]]-2)+10.93)</f>
        <v>13.39</v>
      </c>
      <c r="U110" s="8">
        <f t="shared" si="12"/>
        <v>5</v>
      </c>
      <c r="V110" s="10">
        <f>(5*(Table1_3[[#This Row],[Sample Description]]-1)+65.1)</f>
        <v>85.1</v>
      </c>
      <c r="W110" s="10">
        <f>(0.89*(Table1_3[[#This Row],[Sample Description]]-1)+11.57)</f>
        <v>15.13</v>
      </c>
      <c r="AC110" s="8">
        <f t="shared" si="13"/>
        <v>5</v>
      </c>
      <c r="AD110" s="10">
        <f>(20.9*(Table1_34[[#This Row],[Sample Description]]-2)+50.8)</f>
        <v>113.5</v>
      </c>
      <c r="AE110" s="10">
        <f>(3.73*(Table1_34[[#This Row],[Sample Description]]-2)+9.03)</f>
        <v>20.22</v>
      </c>
      <c r="AK110" s="8">
        <f t="shared" si="14"/>
        <v>5</v>
      </c>
      <c r="AL110" s="3" t="s">
        <v>9</v>
      </c>
      <c r="AM110" s="3" t="s">
        <v>9</v>
      </c>
    </row>
    <row r="111" spans="12:40" ht="15.75">
      <c r="M111" s="8">
        <f t="shared" si="15"/>
        <v>6</v>
      </c>
      <c r="N111" s="10">
        <f>(4.6*(Table1[[#This Row],[Sample Description]]-2)+61.5)</f>
        <v>79.900000000000006</v>
      </c>
      <c r="O111" s="10">
        <f>(0.82*(Table1[[#This Row],[Sample Description]]-2)+10.93)</f>
        <v>14.209999999999999</v>
      </c>
      <c r="U111" s="8">
        <f t="shared" si="12"/>
        <v>6</v>
      </c>
      <c r="V111" s="10">
        <f>(5*(Table1_3[[#This Row],[Sample Description]]-1)+65.1)</f>
        <v>90.1</v>
      </c>
      <c r="W111" s="10">
        <f>(0.89*(Table1_3[[#This Row],[Sample Description]]-1)+11.57)</f>
        <v>16.02</v>
      </c>
      <c r="AC111" s="8">
        <f t="shared" si="13"/>
        <v>6</v>
      </c>
      <c r="AD111" s="10">
        <f>(20.9*(Table1_34[[#This Row],[Sample Description]]-2)+50.8)</f>
        <v>134.39999999999998</v>
      </c>
      <c r="AE111" s="10">
        <f>(3.73*(Table1_34[[#This Row],[Sample Description]]-2)+9.03)</f>
        <v>23.95</v>
      </c>
      <c r="AK111" s="8">
        <f t="shared" si="14"/>
        <v>6</v>
      </c>
      <c r="AL111" s="3" t="s">
        <v>9</v>
      </c>
      <c r="AM111" s="3" t="s">
        <v>9</v>
      </c>
    </row>
    <row r="112" spans="12:40" ht="15.75">
      <c r="M112" s="8">
        <f t="shared" si="15"/>
        <v>7</v>
      </c>
      <c r="N112" s="10">
        <f>(4.6*(Table1[[#This Row],[Sample Description]]-2)+61.5)</f>
        <v>84.5</v>
      </c>
      <c r="O112" s="10">
        <f>(0.82*(Table1[[#This Row],[Sample Description]]-2)+10.93)</f>
        <v>15.03</v>
      </c>
      <c r="U112" s="8">
        <f t="shared" si="12"/>
        <v>7</v>
      </c>
      <c r="V112" s="10">
        <f>(5*(Table1_3[[#This Row],[Sample Description]]-1)+65.1)</f>
        <v>95.1</v>
      </c>
      <c r="W112" s="10">
        <f>(0.89*(Table1_3[[#This Row],[Sample Description]]-1)+11.57)</f>
        <v>16.91</v>
      </c>
      <c r="AC112" s="8">
        <f t="shared" si="13"/>
        <v>7</v>
      </c>
      <c r="AD112" s="10">
        <f>(20.9*(Table1_34[[#This Row],[Sample Description]]-2)+50.8)</f>
        <v>155.30000000000001</v>
      </c>
      <c r="AE112" s="10">
        <f>(3.73*(Table1_34[[#This Row],[Sample Description]]-2)+9.03)</f>
        <v>27.68</v>
      </c>
      <c r="AK112" s="8">
        <f t="shared" si="14"/>
        <v>7</v>
      </c>
      <c r="AL112" s="3" t="s">
        <v>9</v>
      </c>
      <c r="AM112" s="3" t="s">
        <v>9</v>
      </c>
    </row>
    <row r="113" spans="12:40" ht="15.75">
      <c r="M113" s="8">
        <f t="shared" si="15"/>
        <v>8</v>
      </c>
      <c r="N113" s="10">
        <f>(4.6*(Table1[[#This Row],[Sample Description]]-2)+61.5)</f>
        <v>89.1</v>
      </c>
      <c r="O113" s="10">
        <f>(0.82*(Table1[[#This Row],[Sample Description]]-2)+10.93)</f>
        <v>15.85</v>
      </c>
      <c r="U113" s="8">
        <f t="shared" si="12"/>
        <v>8</v>
      </c>
      <c r="V113" s="10">
        <f>(5*(Table1_3[[#This Row],[Sample Description]]-1)+65.1)</f>
        <v>100.1</v>
      </c>
      <c r="W113" s="10">
        <f>(0.89*(Table1_3[[#This Row],[Sample Description]]-1)+11.57)</f>
        <v>17.8</v>
      </c>
      <c r="AC113" s="8">
        <f t="shared" si="13"/>
        <v>8</v>
      </c>
      <c r="AD113" s="10">
        <f>(20.9*(Table1_34[[#This Row],[Sample Description]]-2)+50.8)</f>
        <v>176.2</v>
      </c>
      <c r="AE113" s="10">
        <f>(3.73*(Table1_34[[#This Row],[Sample Description]]-2)+9.03)</f>
        <v>31.409999999999997</v>
      </c>
      <c r="AK113" s="8">
        <f t="shared" si="14"/>
        <v>8</v>
      </c>
      <c r="AL113" s="3" t="s">
        <v>9</v>
      </c>
      <c r="AM113" s="3" t="s">
        <v>9</v>
      </c>
    </row>
    <row r="114" spans="12:40" ht="15.75">
      <c r="M114" s="8">
        <f t="shared" si="15"/>
        <v>9</v>
      </c>
      <c r="N114" s="10">
        <f>(4.6*(Table1[[#This Row],[Sample Description]]-2)+61.5)</f>
        <v>93.699999999999989</v>
      </c>
      <c r="O114" s="10">
        <f>(0.82*(Table1[[#This Row],[Sample Description]]-2)+10.93)</f>
        <v>16.669999999999998</v>
      </c>
      <c r="U114" s="8">
        <f t="shared" si="12"/>
        <v>9</v>
      </c>
      <c r="V114" s="10">
        <f>(5*(Table1_3[[#This Row],[Sample Description]]-1)+65.1)</f>
        <v>105.1</v>
      </c>
      <c r="W114" s="10">
        <f>(0.89*(Table1_3[[#This Row],[Sample Description]]-1)+11.57)</f>
        <v>18.690000000000001</v>
      </c>
      <c r="AC114" s="8">
        <f t="shared" si="13"/>
        <v>9</v>
      </c>
      <c r="AD114" s="10">
        <f>(20.9*(Table1_34[[#This Row],[Sample Description]]-2)+50.8)</f>
        <v>197.09999999999997</v>
      </c>
      <c r="AE114" s="10">
        <f>(3.73*(Table1_34[[#This Row],[Sample Description]]-2)+9.03)</f>
        <v>35.14</v>
      </c>
      <c r="AK114" s="8">
        <f t="shared" si="14"/>
        <v>9</v>
      </c>
      <c r="AL114" s="3" t="s">
        <v>9</v>
      </c>
      <c r="AM114" s="3" t="s">
        <v>9</v>
      </c>
    </row>
    <row r="115" spans="12:40" ht="15.75">
      <c r="L115" s="8" t="s">
        <v>15</v>
      </c>
      <c r="M115" s="8">
        <f t="shared" si="15"/>
        <v>10</v>
      </c>
      <c r="N115" s="10">
        <f>(4.6*(Table1[[#This Row],[Sample Description]]-2)+61.5)</f>
        <v>98.3</v>
      </c>
      <c r="O115" s="10">
        <f>(0.82*(Table1[[#This Row],[Sample Description]]-2)+10.93)</f>
        <v>17.489999999999998</v>
      </c>
      <c r="P115">
        <f>(SUM(O106:O125))/20</f>
        <v>18.062999999999999</v>
      </c>
      <c r="T115" s="8" t="s">
        <v>15</v>
      </c>
      <c r="U115" s="8">
        <f t="shared" si="12"/>
        <v>10</v>
      </c>
      <c r="V115" s="10">
        <f>(5*(Table1_3[[#This Row],[Sample Description]]-1)+65.1)</f>
        <v>110.1</v>
      </c>
      <c r="W115" s="10">
        <f>(0.89*(Table1_3[[#This Row],[Sample Description]]-1)+11.57)</f>
        <v>19.579999999999998</v>
      </c>
      <c r="X115">
        <f>(SUM(W106:W125)/20)</f>
        <v>20.152999999999999</v>
      </c>
      <c r="AB115" s="8" t="s">
        <v>15</v>
      </c>
      <c r="AC115" s="8">
        <f t="shared" si="13"/>
        <v>10</v>
      </c>
      <c r="AD115" s="10">
        <f>(20.9*(Table1_34[[#This Row],[Sample Description]]-2)+50.8)</f>
        <v>218</v>
      </c>
      <c r="AE115" s="10">
        <f>(3.73*(Table1_34[[#This Row],[Sample Description]]-2)+9.03)</f>
        <v>38.869999999999997</v>
      </c>
      <c r="AF115">
        <f>(SUM(AE106:AE125)/20)</f>
        <v>40.964500000000001</v>
      </c>
      <c r="AJ115" s="8" t="s">
        <v>15</v>
      </c>
      <c r="AK115" s="8">
        <f t="shared" si="14"/>
        <v>10</v>
      </c>
      <c r="AL115" s="3" t="s">
        <v>9</v>
      </c>
      <c r="AM115" s="3" t="s">
        <v>9</v>
      </c>
      <c r="AN115" s="10" t="s">
        <v>9</v>
      </c>
    </row>
    <row r="116" spans="12:40" ht="15.75">
      <c r="M116" s="8">
        <f t="shared" si="15"/>
        <v>11</v>
      </c>
      <c r="N116" s="10">
        <f>(4.6*(Table1[[#This Row],[Sample Description]]-2)+61.5)</f>
        <v>102.9</v>
      </c>
      <c r="O116" s="10">
        <f>(0.82*(Table1[[#This Row],[Sample Description]]-2)+10.93)</f>
        <v>18.309999999999999</v>
      </c>
      <c r="U116" s="8">
        <f t="shared" si="12"/>
        <v>11</v>
      </c>
      <c r="V116" s="10">
        <f>(5*(Table1_3[[#This Row],[Sample Description]]-1)+65.1)</f>
        <v>115.1</v>
      </c>
      <c r="W116" s="10">
        <f>(0.89*(Table1_3[[#This Row],[Sample Description]]-1)+11.57)</f>
        <v>20.47</v>
      </c>
      <c r="AC116" s="8">
        <f t="shared" si="13"/>
        <v>11</v>
      </c>
      <c r="AD116" s="10">
        <f>(20.9*(Table1_34[[#This Row],[Sample Description]]-2)+50.8)</f>
        <v>238.89999999999998</v>
      </c>
      <c r="AE116" s="10">
        <f>(3.73*(Table1_34[[#This Row],[Sample Description]]-2)+9.03)</f>
        <v>42.6</v>
      </c>
      <c r="AK116" s="8">
        <f t="shared" si="14"/>
        <v>11</v>
      </c>
      <c r="AL116" s="3" t="s">
        <v>9</v>
      </c>
      <c r="AM116" s="3" t="s">
        <v>9</v>
      </c>
    </row>
    <row r="117" spans="12:40" ht="15.75">
      <c r="M117" s="8">
        <f t="shared" si="15"/>
        <v>12</v>
      </c>
      <c r="N117" s="10">
        <f>(4.6*(Table1[[#This Row],[Sample Description]]-2)+61.5)</f>
        <v>107.5</v>
      </c>
      <c r="O117" s="10">
        <f>(0.82*(Table1[[#This Row],[Sample Description]]-2)+10.93)</f>
        <v>19.13</v>
      </c>
      <c r="U117" s="8">
        <f t="shared" si="12"/>
        <v>12</v>
      </c>
      <c r="V117" s="10">
        <f>(5*(Table1_3[[#This Row],[Sample Description]]-1)+65.1)</f>
        <v>120.1</v>
      </c>
      <c r="W117" s="10">
        <f>(0.89*(Table1_3[[#This Row],[Sample Description]]-1)+11.57)</f>
        <v>21.36</v>
      </c>
      <c r="AC117" s="8">
        <f t="shared" si="13"/>
        <v>12</v>
      </c>
      <c r="AD117" s="10">
        <f>(20.9*(Table1_34[[#This Row],[Sample Description]]-2)+50.8)</f>
        <v>259.8</v>
      </c>
      <c r="AE117" s="10">
        <f>(3.73*(Table1_34[[#This Row],[Sample Description]]-2)+9.03)</f>
        <v>46.33</v>
      </c>
      <c r="AK117" s="8">
        <f t="shared" si="14"/>
        <v>12</v>
      </c>
      <c r="AL117" s="3" t="s">
        <v>9</v>
      </c>
      <c r="AM117" s="3" t="s">
        <v>9</v>
      </c>
    </row>
    <row r="118" spans="12:40" ht="15.75">
      <c r="M118" s="8">
        <f t="shared" si="15"/>
        <v>13</v>
      </c>
      <c r="N118" s="10">
        <f>(4.6*(Table1[[#This Row],[Sample Description]]-2)+61.5)</f>
        <v>112.1</v>
      </c>
      <c r="O118" s="10">
        <f>(0.82*(Table1[[#This Row],[Sample Description]]-2)+10.93)</f>
        <v>19.95</v>
      </c>
      <c r="U118" s="8">
        <f t="shared" si="12"/>
        <v>13</v>
      </c>
      <c r="V118" s="10">
        <f>(5*(Table1_3[[#This Row],[Sample Description]]-1)+65.1)</f>
        <v>125.1</v>
      </c>
      <c r="W118" s="10">
        <f>(0.89*(Table1_3[[#This Row],[Sample Description]]-1)+11.57)</f>
        <v>22.25</v>
      </c>
      <c r="AC118" s="8">
        <f t="shared" si="13"/>
        <v>13</v>
      </c>
      <c r="AD118" s="10">
        <f>(20.9*(Table1_34[[#This Row],[Sample Description]]-2)+50.8)</f>
        <v>280.7</v>
      </c>
      <c r="AE118" s="10">
        <f>(3.73*(Table1_34[[#This Row],[Sample Description]]-2)+9.03)</f>
        <v>50.06</v>
      </c>
      <c r="AK118" s="8">
        <f t="shared" si="14"/>
        <v>13</v>
      </c>
      <c r="AL118" s="3" t="s">
        <v>9</v>
      </c>
      <c r="AM118" s="3" t="s">
        <v>9</v>
      </c>
    </row>
    <row r="119" spans="12:40" ht="15.75">
      <c r="M119" s="8">
        <f t="shared" si="15"/>
        <v>14</v>
      </c>
      <c r="N119" s="10">
        <f>(4.6*(Table1[[#This Row],[Sample Description]]-2)+61.5)</f>
        <v>116.69999999999999</v>
      </c>
      <c r="O119" s="10">
        <f>(0.82*(Table1[[#This Row],[Sample Description]]-2)+10.93)</f>
        <v>20.77</v>
      </c>
      <c r="U119" s="8">
        <f t="shared" si="12"/>
        <v>14</v>
      </c>
      <c r="V119" s="10">
        <f>(5*(Table1_3[[#This Row],[Sample Description]]-1)+65.1)</f>
        <v>130.1</v>
      </c>
      <c r="W119" s="10">
        <f>(0.89*(Table1_3[[#This Row],[Sample Description]]-1)+11.57)</f>
        <v>23.14</v>
      </c>
      <c r="AC119" s="8">
        <f t="shared" si="13"/>
        <v>14</v>
      </c>
      <c r="AD119" s="10">
        <f>(20.9*(Table1_34[[#This Row],[Sample Description]]-2)+50.8)</f>
        <v>301.59999999999997</v>
      </c>
      <c r="AE119" s="10">
        <f>(3.73*(Table1_34[[#This Row],[Sample Description]]-2)+9.03)</f>
        <v>53.79</v>
      </c>
      <c r="AK119" s="8">
        <f t="shared" si="14"/>
        <v>14</v>
      </c>
      <c r="AL119" s="3" t="s">
        <v>9</v>
      </c>
      <c r="AM119" s="3" t="s">
        <v>9</v>
      </c>
    </row>
    <row r="120" spans="12:40" ht="15.75">
      <c r="M120" s="8">
        <f t="shared" si="15"/>
        <v>15</v>
      </c>
      <c r="N120" s="10">
        <f>(4.6*(Table1[[#This Row],[Sample Description]]-2)+61.5)</f>
        <v>121.3</v>
      </c>
      <c r="O120" s="10">
        <f>(0.82*(Table1[[#This Row],[Sample Description]]-2)+10.93)</f>
        <v>21.59</v>
      </c>
      <c r="U120" s="8">
        <f t="shared" si="12"/>
        <v>15</v>
      </c>
      <c r="V120" s="10">
        <f>(5*(Table1_3[[#This Row],[Sample Description]]-1)+65.1)</f>
        <v>135.1</v>
      </c>
      <c r="W120" s="10">
        <f>(0.89*(Table1_3[[#This Row],[Sample Description]]-1)+11.57)</f>
        <v>24.03</v>
      </c>
      <c r="AC120" s="8">
        <f t="shared" si="13"/>
        <v>15</v>
      </c>
      <c r="AD120" s="10">
        <f>(20.9*(Table1_34[[#This Row],[Sample Description]]-2)+50.8)</f>
        <v>322.5</v>
      </c>
      <c r="AE120" s="10">
        <f>(3.73*(Table1_34[[#This Row],[Sample Description]]-2)+9.03)</f>
        <v>57.52</v>
      </c>
      <c r="AK120" s="8">
        <f t="shared" si="14"/>
        <v>15</v>
      </c>
      <c r="AL120" s="3" t="s">
        <v>9</v>
      </c>
      <c r="AM120" s="3" t="s">
        <v>9</v>
      </c>
    </row>
    <row r="121" spans="12:40" ht="15.75">
      <c r="M121" s="8">
        <f t="shared" si="15"/>
        <v>16</v>
      </c>
      <c r="N121" s="10">
        <f>(4.6*(Table1[[#This Row],[Sample Description]]-2)+61.5)</f>
        <v>125.89999999999999</v>
      </c>
      <c r="O121" s="10">
        <f>(0.82*(Table1[[#This Row],[Sample Description]]-2)+10.93)</f>
        <v>22.409999999999997</v>
      </c>
      <c r="U121" s="8">
        <f t="shared" si="12"/>
        <v>16</v>
      </c>
      <c r="V121" s="10">
        <f>(5*(Table1_3[[#This Row],[Sample Description]]-1)+65.1)</f>
        <v>140.1</v>
      </c>
      <c r="W121" s="10">
        <f>(0.89*(Table1_3[[#This Row],[Sample Description]]-1)+11.57)</f>
        <v>24.92</v>
      </c>
      <c r="AC121" s="8">
        <f t="shared" si="13"/>
        <v>16</v>
      </c>
      <c r="AD121" s="10">
        <f>(20.9*(Table1_34[[#This Row],[Sample Description]]-2)+50.8)</f>
        <v>343.4</v>
      </c>
      <c r="AE121" s="10">
        <f>(3.73*(Table1_34[[#This Row],[Sample Description]]-2)+9.03)</f>
        <v>61.25</v>
      </c>
      <c r="AK121" s="8">
        <f t="shared" si="14"/>
        <v>16</v>
      </c>
      <c r="AL121" s="3" t="s">
        <v>9</v>
      </c>
      <c r="AM121" s="3" t="s">
        <v>9</v>
      </c>
    </row>
    <row r="122" spans="12:40" ht="15.75">
      <c r="M122" s="8">
        <f t="shared" si="15"/>
        <v>17</v>
      </c>
      <c r="N122" s="10">
        <f>(4.6*(Table1[[#This Row],[Sample Description]]-2)+61.5)</f>
        <v>130.5</v>
      </c>
      <c r="O122" s="10">
        <f>(0.82*(Table1[[#This Row],[Sample Description]]-2)+10.93)</f>
        <v>23.229999999999997</v>
      </c>
      <c r="U122" s="8">
        <f t="shared" si="12"/>
        <v>17</v>
      </c>
      <c r="V122" s="10">
        <f>(5*(Table1_3[[#This Row],[Sample Description]]-1)+65.1)</f>
        <v>145.1</v>
      </c>
      <c r="W122" s="10">
        <f>(0.89*(Table1_3[[#This Row],[Sample Description]]-1)+11.57)</f>
        <v>25.810000000000002</v>
      </c>
      <c r="AC122" s="8">
        <f t="shared" si="13"/>
        <v>17</v>
      </c>
      <c r="AD122" s="10">
        <f>(20.9*(Table1_34[[#This Row],[Sample Description]]-2)+50.8)</f>
        <v>364.3</v>
      </c>
      <c r="AE122" s="10">
        <f>(3.73*(Table1_34[[#This Row],[Sample Description]]-2)+9.03)</f>
        <v>64.98</v>
      </c>
      <c r="AK122" s="8">
        <f t="shared" si="14"/>
        <v>17</v>
      </c>
      <c r="AL122" s="3" t="s">
        <v>9</v>
      </c>
      <c r="AM122" s="3" t="s">
        <v>9</v>
      </c>
    </row>
    <row r="123" spans="12:40" ht="15.75">
      <c r="M123" s="8">
        <f t="shared" si="15"/>
        <v>18</v>
      </c>
      <c r="N123" s="10">
        <f>(4.6*(Table1[[#This Row],[Sample Description]]-2)+61.5)</f>
        <v>135.1</v>
      </c>
      <c r="O123" s="10">
        <f>(0.82*(Table1[[#This Row],[Sample Description]]-2)+10.93)</f>
        <v>24.049999999999997</v>
      </c>
      <c r="U123" s="8">
        <f t="shared" si="12"/>
        <v>18</v>
      </c>
      <c r="V123" s="10">
        <f>(5*(Table1_3[[#This Row],[Sample Description]]-1)+65.1)</f>
        <v>150.1</v>
      </c>
      <c r="W123" s="10">
        <f>(0.89*(Table1_3[[#This Row],[Sample Description]]-1)+11.57)</f>
        <v>26.700000000000003</v>
      </c>
      <c r="AC123" s="8">
        <f t="shared" si="13"/>
        <v>18</v>
      </c>
      <c r="AD123" s="10">
        <f>(20.9*(Table1_34[[#This Row],[Sample Description]]-2)+50.8)</f>
        <v>385.2</v>
      </c>
      <c r="AE123" s="10">
        <f>(3.73*(Table1_34[[#This Row],[Sample Description]]-2)+9.03)</f>
        <v>68.709999999999994</v>
      </c>
      <c r="AK123" s="8">
        <f t="shared" si="14"/>
        <v>18</v>
      </c>
      <c r="AL123" s="3" t="s">
        <v>9</v>
      </c>
      <c r="AM123" s="3" t="s">
        <v>9</v>
      </c>
    </row>
    <row r="124" spans="12:40" ht="15.75">
      <c r="M124" s="8">
        <f t="shared" si="15"/>
        <v>19</v>
      </c>
      <c r="N124" s="10">
        <f>(4.6*(Table1[[#This Row],[Sample Description]]-2)+61.5)</f>
        <v>139.69999999999999</v>
      </c>
      <c r="O124" s="10">
        <f>(0.82*(Table1[[#This Row],[Sample Description]]-2)+10.93)</f>
        <v>24.869999999999997</v>
      </c>
      <c r="U124" s="8">
        <f t="shared" si="12"/>
        <v>19</v>
      </c>
      <c r="V124" s="10">
        <f>(5*(Table1_3[[#This Row],[Sample Description]]-1)+65.1)</f>
        <v>155.1</v>
      </c>
      <c r="W124" s="10">
        <f>(0.89*(Table1_3[[#This Row],[Sample Description]]-1)+11.57)</f>
        <v>27.59</v>
      </c>
      <c r="AC124" s="8">
        <f t="shared" si="13"/>
        <v>19</v>
      </c>
      <c r="AD124" s="10">
        <f>(20.9*(Table1_34[[#This Row],[Sample Description]]-2)+50.8)</f>
        <v>406.09999999999997</v>
      </c>
      <c r="AE124" s="10">
        <f>(3.73*(Table1_34[[#This Row],[Sample Description]]-2)+9.03)</f>
        <v>72.44</v>
      </c>
      <c r="AK124" s="8">
        <f t="shared" si="14"/>
        <v>19</v>
      </c>
      <c r="AL124" s="3" t="s">
        <v>9</v>
      </c>
      <c r="AM124" s="3" t="s">
        <v>9</v>
      </c>
    </row>
    <row r="125" spans="12:40" ht="15.75">
      <c r="M125" s="8">
        <f t="shared" si="15"/>
        <v>20</v>
      </c>
      <c r="N125" s="10">
        <f>(4.6*(Table1[[#This Row],[Sample Description]]-2)+61.5)</f>
        <v>144.30000000000001</v>
      </c>
      <c r="O125" s="10">
        <f>(0.82*(Table1[[#This Row],[Sample Description]]-2)+10.93)</f>
        <v>25.689999999999998</v>
      </c>
      <c r="U125" s="8">
        <f t="shared" si="12"/>
        <v>20</v>
      </c>
      <c r="V125" s="10">
        <f>(5*(Table1_3[[#This Row],[Sample Description]]-1)+65.1)</f>
        <v>160.1</v>
      </c>
      <c r="W125" s="10">
        <f>(0.89*(Table1_3[[#This Row],[Sample Description]]-1)+11.57)</f>
        <v>28.48</v>
      </c>
      <c r="AC125" s="8">
        <f t="shared" si="13"/>
        <v>20</v>
      </c>
      <c r="AD125" s="10">
        <f>(20.9*(Table1_34[[#This Row],[Sample Description]]-2)+50.8)</f>
        <v>427</v>
      </c>
      <c r="AE125" s="10">
        <f>(3.73*(Table1_34[[#This Row],[Sample Description]]-2)+9.03)</f>
        <v>76.17</v>
      </c>
      <c r="AK125" s="8">
        <f t="shared" si="14"/>
        <v>20</v>
      </c>
      <c r="AL125" s="3" t="s">
        <v>9</v>
      </c>
      <c r="AM125" s="3" t="s">
        <v>9</v>
      </c>
    </row>
    <row r="126" spans="12:40" ht="15.75">
      <c r="L126" s="3"/>
      <c r="M126" s="3">
        <v>1</v>
      </c>
      <c r="N126" s="3">
        <v>83.4</v>
      </c>
      <c r="O126" s="3">
        <v>14.83</v>
      </c>
      <c r="P126" s="3"/>
      <c r="T126" s="3"/>
      <c r="U126" s="3">
        <v>1</v>
      </c>
      <c r="V126" s="5">
        <v>88</v>
      </c>
      <c r="W126" s="5">
        <v>15.64</v>
      </c>
      <c r="X126" s="5"/>
      <c r="AB126" s="3"/>
      <c r="AC126" s="3">
        <v>1</v>
      </c>
      <c r="AD126" s="5">
        <v>72.599999999999994</v>
      </c>
      <c r="AE126" s="5">
        <v>12.91</v>
      </c>
      <c r="AF126" s="3"/>
      <c r="AJ126" s="3"/>
      <c r="AK126" s="3">
        <v>1</v>
      </c>
      <c r="AL126" s="3" t="s">
        <v>9</v>
      </c>
      <c r="AM126" s="3" t="s">
        <v>9</v>
      </c>
      <c r="AN126" s="3"/>
    </row>
    <row r="127" spans="12:40" ht="15.75">
      <c r="L127" s="3"/>
      <c r="M127" s="3">
        <v>2</v>
      </c>
      <c r="N127" s="3">
        <v>85.2</v>
      </c>
      <c r="O127" s="3">
        <v>15.15</v>
      </c>
      <c r="P127" s="3"/>
      <c r="T127" s="3"/>
      <c r="U127" s="3">
        <v>2</v>
      </c>
      <c r="V127" s="5">
        <v>90.2</v>
      </c>
      <c r="W127" s="5">
        <v>16.04</v>
      </c>
      <c r="X127" s="5"/>
      <c r="AB127" s="3"/>
      <c r="AC127" s="3">
        <v>2</v>
      </c>
      <c r="AD127" s="5">
        <v>63.4</v>
      </c>
      <c r="AE127" s="5">
        <v>11.27</v>
      </c>
      <c r="AF127" s="3"/>
      <c r="AJ127" s="3"/>
      <c r="AK127" s="3">
        <v>2</v>
      </c>
      <c r="AL127" s="3" t="s">
        <v>9</v>
      </c>
      <c r="AM127" s="3" t="s">
        <v>9</v>
      </c>
      <c r="AN127" s="3"/>
    </row>
    <row r="128" spans="12:40" ht="15.75">
      <c r="L128" s="3"/>
      <c r="M128" s="3">
        <v>3</v>
      </c>
      <c r="N128" s="3">
        <v>62.8</v>
      </c>
      <c r="O128" s="3">
        <v>11.16</v>
      </c>
      <c r="P128" s="3"/>
      <c r="T128" s="3"/>
      <c r="U128" s="3">
        <v>3</v>
      </c>
      <c r="V128" s="5">
        <v>66.400000000000006</v>
      </c>
      <c r="W128" s="5">
        <v>11.8</v>
      </c>
      <c r="X128" s="5"/>
      <c r="AB128" s="3"/>
      <c r="AC128" s="3">
        <v>3</v>
      </c>
      <c r="AD128" s="5">
        <v>60.4</v>
      </c>
      <c r="AE128" s="5">
        <v>10.74</v>
      </c>
      <c r="AF128" s="3"/>
      <c r="AJ128" s="3"/>
      <c r="AK128" s="3">
        <v>3</v>
      </c>
      <c r="AL128" s="3" t="s">
        <v>9</v>
      </c>
      <c r="AM128" s="3" t="s">
        <v>9</v>
      </c>
      <c r="AN128" s="3"/>
    </row>
    <row r="129" spans="12:40" ht="15.75">
      <c r="M129" s="8">
        <f t="shared" ref="M129:M145" si="16">M128+1</f>
        <v>4</v>
      </c>
      <c r="N129" s="10">
        <f>(1.8*(Table1[[#This Row],[Sample Description]]-1)+83.4)</f>
        <v>88.800000000000011</v>
      </c>
      <c r="O129" s="10">
        <f>(0.32*(Table1[[#This Row],[Sample Description]]-1)+14.83)</f>
        <v>15.79</v>
      </c>
      <c r="U129" s="8">
        <f t="shared" ref="U129:U145" si="17">U128+1</f>
        <v>4</v>
      </c>
      <c r="V129" s="10">
        <f>(2.2*(Table1_3[[#This Row],[Sample Description]]-1)+88)</f>
        <v>94.6</v>
      </c>
      <c r="W129" s="10">
        <f>(0.4*(Table1_3[[#This Row],[Sample Description]]-1)+15.64)</f>
        <v>16.84</v>
      </c>
      <c r="AC129" s="8">
        <f t="shared" ref="AC129:AC145" si="18">AC128+1</f>
        <v>4</v>
      </c>
      <c r="AD129" s="10">
        <f>(-3*(Table1_34[[#This Row],[Sample Description]]-2)+63.4)</f>
        <v>57.4</v>
      </c>
      <c r="AE129" s="10">
        <f>(-0.53*(Table1_34[[#This Row],[Sample Description]]-2)+11.27)</f>
        <v>10.209999999999999</v>
      </c>
      <c r="AK129" s="8">
        <f t="shared" ref="AK129:AK145" si="19">AK128+1</f>
        <v>4</v>
      </c>
      <c r="AL129" s="3" t="s">
        <v>9</v>
      </c>
      <c r="AM129" s="3" t="s">
        <v>9</v>
      </c>
    </row>
    <row r="130" spans="12:40" ht="15.75">
      <c r="M130" s="8">
        <f t="shared" si="16"/>
        <v>5</v>
      </c>
      <c r="N130" s="10">
        <f>(1.8*(Table1[[#This Row],[Sample Description]]-1)+83.4)</f>
        <v>90.600000000000009</v>
      </c>
      <c r="O130" s="10">
        <f>(0.32*(Table1[[#This Row],[Sample Description]]-1)+14.83)</f>
        <v>16.11</v>
      </c>
      <c r="U130" s="8">
        <f t="shared" si="17"/>
        <v>5</v>
      </c>
      <c r="V130" s="10">
        <f>(2.2*(Table1_3[[#This Row],[Sample Description]]-1)+88)</f>
        <v>96.8</v>
      </c>
      <c r="W130" s="10">
        <f>(0.4*(Table1_3[[#This Row],[Sample Description]]-1)+15.64)</f>
        <v>17.240000000000002</v>
      </c>
      <c r="AC130" s="8">
        <f t="shared" si="18"/>
        <v>5</v>
      </c>
      <c r="AD130" s="10">
        <f>(-3*(Table1_34[[#This Row],[Sample Description]]-2)+63.4)</f>
        <v>54.4</v>
      </c>
      <c r="AE130" s="10">
        <f>(-0.53*(Table1_34[[#This Row],[Sample Description]]-2)+11.27)</f>
        <v>9.68</v>
      </c>
      <c r="AK130" s="8">
        <f t="shared" si="19"/>
        <v>5</v>
      </c>
      <c r="AL130" s="3" t="s">
        <v>9</v>
      </c>
      <c r="AM130" s="3" t="s">
        <v>9</v>
      </c>
    </row>
    <row r="131" spans="12:40" ht="15.75">
      <c r="M131" s="8">
        <f t="shared" si="16"/>
        <v>6</v>
      </c>
      <c r="N131" s="10">
        <f>(1.8*(Table1[[#This Row],[Sample Description]]-1)+83.4)</f>
        <v>92.4</v>
      </c>
      <c r="O131" s="10">
        <f>(0.32*(Table1[[#This Row],[Sample Description]]-1)+14.83)</f>
        <v>16.43</v>
      </c>
      <c r="U131" s="8">
        <f t="shared" si="17"/>
        <v>6</v>
      </c>
      <c r="V131" s="10">
        <f>(2.2*(Table1_3[[#This Row],[Sample Description]]-1)+88)</f>
        <v>99</v>
      </c>
      <c r="W131" s="10">
        <f>(0.4*(Table1_3[[#This Row],[Sample Description]]-1)+15.64)</f>
        <v>17.64</v>
      </c>
      <c r="AC131" s="8">
        <f t="shared" si="18"/>
        <v>6</v>
      </c>
      <c r="AD131" s="10">
        <f>(-3*(Table1_34[[#This Row],[Sample Description]]-2)+63.4)</f>
        <v>51.4</v>
      </c>
      <c r="AE131" s="10">
        <f>(-0.53*(Table1_34[[#This Row],[Sample Description]]-2)+11.27)</f>
        <v>9.1499999999999986</v>
      </c>
      <c r="AK131" s="8">
        <f t="shared" si="19"/>
        <v>6</v>
      </c>
      <c r="AL131" s="3" t="s">
        <v>9</v>
      </c>
      <c r="AM131" s="3" t="s">
        <v>9</v>
      </c>
    </row>
    <row r="132" spans="12:40" ht="15.75">
      <c r="M132" s="8">
        <f t="shared" si="16"/>
        <v>7</v>
      </c>
      <c r="N132" s="10">
        <f>(1.8*(Table1[[#This Row],[Sample Description]]-1)+83.4)</f>
        <v>94.2</v>
      </c>
      <c r="O132" s="10">
        <f>(0.32*(Table1[[#This Row],[Sample Description]]-1)+14.83)</f>
        <v>16.75</v>
      </c>
      <c r="U132" s="8">
        <f t="shared" si="17"/>
        <v>7</v>
      </c>
      <c r="V132" s="10">
        <f>(2.2*(Table1_3[[#This Row],[Sample Description]]-1)+88)</f>
        <v>101.2</v>
      </c>
      <c r="W132" s="10">
        <f>(0.4*(Table1_3[[#This Row],[Sample Description]]-1)+15.64)</f>
        <v>18.04</v>
      </c>
      <c r="AC132" s="8">
        <f t="shared" si="18"/>
        <v>7</v>
      </c>
      <c r="AD132" s="10">
        <f>(-3*(Table1_34[[#This Row],[Sample Description]]-2)+63.4)</f>
        <v>48.4</v>
      </c>
      <c r="AE132" s="10">
        <f>(-0.53*(Table1_34[[#This Row],[Sample Description]]-2)+11.27)</f>
        <v>8.6199999999999992</v>
      </c>
      <c r="AK132" s="8">
        <f t="shared" si="19"/>
        <v>7</v>
      </c>
      <c r="AL132" s="3" t="s">
        <v>9</v>
      </c>
      <c r="AM132" s="3" t="s">
        <v>9</v>
      </c>
    </row>
    <row r="133" spans="12:40" ht="15.75">
      <c r="M133" s="8">
        <f t="shared" si="16"/>
        <v>8</v>
      </c>
      <c r="N133" s="10">
        <f>(1.8*(Table1[[#This Row],[Sample Description]]-1)+83.4)</f>
        <v>96</v>
      </c>
      <c r="O133" s="10">
        <f>(0.32*(Table1[[#This Row],[Sample Description]]-1)+14.83)</f>
        <v>17.07</v>
      </c>
      <c r="U133" s="8">
        <f t="shared" si="17"/>
        <v>8</v>
      </c>
      <c r="V133" s="10">
        <f>(2.2*(Table1_3[[#This Row],[Sample Description]]-1)+88)</f>
        <v>103.4</v>
      </c>
      <c r="W133" s="10">
        <f>(0.4*(Table1_3[[#This Row],[Sample Description]]-1)+15.64)</f>
        <v>18.440000000000001</v>
      </c>
      <c r="AC133" s="8">
        <f t="shared" si="18"/>
        <v>8</v>
      </c>
      <c r="AD133" s="10">
        <f>(-3*(Table1_34[[#This Row],[Sample Description]]-2)+63.4)</f>
        <v>45.4</v>
      </c>
      <c r="AE133" s="10">
        <f>(-0.53*(Table1_34[[#This Row],[Sample Description]]-2)+11.27)</f>
        <v>8.09</v>
      </c>
      <c r="AK133" s="8">
        <f t="shared" si="19"/>
        <v>8</v>
      </c>
      <c r="AL133" s="3" t="s">
        <v>9</v>
      </c>
      <c r="AM133" s="3" t="s">
        <v>9</v>
      </c>
    </row>
    <row r="134" spans="12:40" ht="15.75">
      <c r="M134" s="8">
        <f t="shared" si="16"/>
        <v>9</v>
      </c>
      <c r="N134" s="10">
        <f>(1.8*(Table1[[#This Row],[Sample Description]]-1)+83.4)</f>
        <v>97.800000000000011</v>
      </c>
      <c r="O134" s="10">
        <f>(0.32*(Table1[[#This Row],[Sample Description]]-1)+14.83)</f>
        <v>17.39</v>
      </c>
      <c r="U134" s="8">
        <f t="shared" si="17"/>
        <v>9</v>
      </c>
      <c r="V134" s="10">
        <f>(2.2*(Table1_3[[#This Row],[Sample Description]]-1)+88)</f>
        <v>105.6</v>
      </c>
      <c r="W134" s="10">
        <f>(0.4*(Table1_3[[#This Row],[Sample Description]]-1)+15.64)</f>
        <v>18.84</v>
      </c>
      <c r="AC134" s="8">
        <f t="shared" si="18"/>
        <v>9</v>
      </c>
      <c r="AD134" s="10">
        <f>(-3*(Table1_34[[#This Row],[Sample Description]]-2)+63.4)</f>
        <v>42.4</v>
      </c>
      <c r="AE134" s="10">
        <f>(-0.53*(Table1_34[[#This Row],[Sample Description]]-2)+11.27)</f>
        <v>7.56</v>
      </c>
      <c r="AK134" s="8">
        <f t="shared" si="19"/>
        <v>9</v>
      </c>
      <c r="AL134" s="3" t="s">
        <v>9</v>
      </c>
      <c r="AM134" s="3" t="s">
        <v>9</v>
      </c>
    </row>
    <row r="135" spans="12:40" ht="15.75">
      <c r="L135" s="13" t="s">
        <v>16</v>
      </c>
      <c r="M135" s="8">
        <f t="shared" si="16"/>
        <v>10</v>
      </c>
      <c r="N135" s="10">
        <f>(1.8*(Table1[[#This Row],[Sample Description]]-1)+83.4)</f>
        <v>99.600000000000009</v>
      </c>
      <c r="O135" s="10">
        <f>(0.32*(Table1[[#This Row],[Sample Description]]-1)+14.83)</f>
        <v>17.71</v>
      </c>
      <c r="P135">
        <f>(SUM(O126:O145))/20</f>
        <v>17.654499999999999</v>
      </c>
      <c r="T135" s="13" t="s">
        <v>16</v>
      </c>
      <c r="U135" s="8">
        <f t="shared" si="17"/>
        <v>10</v>
      </c>
      <c r="V135" s="10">
        <f>(2.2*(Table1_3[[#This Row],[Sample Description]]-1)+88)</f>
        <v>107.8</v>
      </c>
      <c r="W135" s="10">
        <f>(0.4*(Table1_3[[#This Row],[Sample Description]]-1)+15.64)</f>
        <v>19.240000000000002</v>
      </c>
      <c r="X135">
        <f>(SUM(W126:W145)/20)</f>
        <v>19.208000000000002</v>
      </c>
      <c r="AB135" s="13" t="s">
        <v>16</v>
      </c>
      <c r="AC135" s="8">
        <f t="shared" si="18"/>
        <v>10</v>
      </c>
      <c r="AD135" s="10">
        <f>(-3*(Table1_34[[#This Row],[Sample Description]]-2)+63.4)</f>
        <v>39.4</v>
      </c>
      <c r="AE135" s="10">
        <f>(-0.53*(Table1_34[[#This Row],[Sample Description]]-2)+11.27)</f>
        <v>7.0299999999999994</v>
      </c>
      <c r="AF135">
        <f>(SUM(AE126:AE145)/20)</f>
        <v>6.8204999999999982</v>
      </c>
      <c r="AJ135" s="13" t="s">
        <v>16</v>
      </c>
      <c r="AK135" s="8">
        <f t="shared" si="19"/>
        <v>10</v>
      </c>
      <c r="AL135" s="3" t="s">
        <v>9</v>
      </c>
      <c r="AM135" s="3" t="s">
        <v>9</v>
      </c>
      <c r="AN135" s="10" t="s">
        <v>9</v>
      </c>
    </row>
    <row r="136" spans="12:40" ht="15.75">
      <c r="M136" s="8">
        <f t="shared" si="16"/>
        <v>11</v>
      </c>
      <c r="N136" s="10">
        <f>(1.8*(Table1[[#This Row],[Sample Description]]-1)+83.4)</f>
        <v>101.4</v>
      </c>
      <c r="O136" s="10">
        <f>(0.32*(Table1[[#This Row],[Sample Description]]-1)+14.83)</f>
        <v>18.03</v>
      </c>
      <c r="U136" s="8">
        <f t="shared" si="17"/>
        <v>11</v>
      </c>
      <c r="V136" s="10">
        <f>(2.2*(Table1_3[[#This Row],[Sample Description]]-1)+88)</f>
        <v>110</v>
      </c>
      <c r="W136" s="10">
        <f>(0.4*(Table1_3[[#This Row],[Sample Description]]-1)+15.64)</f>
        <v>19.64</v>
      </c>
      <c r="AC136" s="8">
        <f t="shared" si="18"/>
        <v>11</v>
      </c>
      <c r="AD136" s="10">
        <f>(-3*(Table1_34[[#This Row],[Sample Description]]-2)+63.4)</f>
        <v>36.4</v>
      </c>
      <c r="AE136" s="10">
        <f>(-0.53*(Table1_34[[#This Row],[Sample Description]]-2)+11.27)</f>
        <v>6.4999999999999991</v>
      </c>
      <c r="AK136" s="8">
        <f t="shared" si="19"/>
        <v>11</v>
      </c>
      <c r="AL136" s="3" t="s">
        <v>9</v>
      </c>
      <c r="AM136" s="3" t="s">
        <v>9</v>
      </c>
    </row>
    <row r="137" spans="12:40" ht="15.75">
      <c r="M137" s="8">
        <f t="shared" si="16"/>
        <v>12</v>
      </c>
      <c r="N137" s="10">
        <f>(1.8*(Table1[[#This Row],[Sample Description]]-1)+83.4)</f>
        <v>103.2</v>
      </c>
      <c r="O137" s="10">
        <f>(0.32*(Table1[[#This Row],[Sample Description]]-1)+14.83)</f>
        <v>18.350000000000001</v>
      </c>
      <c r="U137" s="8">
        <f t="shared" si="17"/>
        <v>12</v>
      </c>
      <c r="V137" s="10">
        <f>(2.2*(Table1_3[[#This Row],[Sample Description]]-1)+88)</f>
        <v>112.2</v>
      </c>
      <c r="W137" s="10">
        <f>(0.4*(Table1_3[[#This Row],[Sample Description]]-1)+15.64)</f>
        <v>20.04</v>
      </c>
      <c r="AC137" s="8">
        <f t="shared" si="18"/>
        <v>12</v>
      </c>
      <c r="AD137" s="10">
        <f>(-3*(Table1_34[[#This Row],[Sample Description]]-2)+63.4)</f>
        <v>33.4</v>
      </c>
      <c r="AE137" s="10">
        <f>(-0.53*(Table1_34[[#This Row],[Sample Description]]-2)+11.27)</f>
        <v>5.9699999999999989</v>
      </c>
      <c r="AK137" s="8">
        <f t="shared" si="19"/>
        <v>12</v>
      </c>
      <c r="AL137" s="3" t="s">
        <v>9</v>
      </c>
      <c r="AM137" s="3" t="s">
        <v>9</v>
      </c>
    </row>
    <row r="138" spans="12:40" ht="15.75">
      <c r="M138" s="8">
        <f t="shared" si="16"/>
        <v>13</v>
      </c>
      <c r="N138" s="10">
        <f>(1.8*(Table1[[#This Row],[Sample Description]]-1)+83.4)</f>
        <v>105</v>
      </c>
      <c r="O138" s="10">
        <f>(0.32*(Table1[[#This Row],[Sample Description]]-1)+14.83)</f>
        <v>18.670000000000002</v>
      </c>
      <c r="U138" s="8">
        <f t="shared" si="17"/>
        <v>13</v>
      </c>
      <c r="V138" s="10">
        <f>(2.2*(Table1_3[[#This Row],[Sample Description]]-1)+88)</f>
        <v>114.4</v>
      </c>
      <c r="W138" s="10">
        <f>(0.4*(Table1_3[[#This Row],[Sample Description]]-1)+15.64)</f>
        <v>20.440000000000001</v>
      </c>
      <c r="AC138" s="8">
        <f t="shared" si="18"/>
        <v>13</v>
      </c>
      <c r="AD138" s="10">
        <f>(-3*(Table1_34[[#This Row],[Sample Description]]-2)+63.4)</f>
        <v>30.4</v>
      </c>
      <c r="AE138" s="10">
        <f>(-0.53*(Table1_34[[#This Row],[Sample Description]]-2)+11.27)</f>
        <v>5.4399999999999995</v>
      </c>
      <c r="AK138" s="8">
        <f t="shared" si="19"/>
        <v>13</v>
      </c>
      <c r="AL138" s="3" t="s">
        <v>9</v>
      </c>
      <c r="AM138" s="3" t="s">
        <v>9</v>
      </c>
    </row>
    <row r="139" spans="12:40" ht="15.75">
      <c r="M139" s="8">
        <f t="shared" si="16"/>
        <v>14</v>
      </c>
      <c r="N139" s="10">
        <f>(1.8*(Table1[[#This Row],[Sample Description]]-1)+83.4)</f>
        <v>106.80000000000001</v>
      </c>
      <c r="O139" s="10">
        <f>(0.32*(Table1[[#This Row],[Sample Description]]-1)+14.83)</f>
        <v>18.990000000000002</v>
      </c>
      <c r="U139" s="8">
        <f t="shared" si="17"/>
        <v>14</v>
      </c>
      <c r="V139" s="10">
        <f>(2.2*(Table1_3[[#This Row],[Sample Description]]-1)+88)</f>
        <v>116.6</v>
      </c>
      <c r="W139" s="10">
        <f>(0.4*(Table1_3[[#This Row],[Sample Description]]-1)+15.64)</f>
        <v>20.84</v>
      </c>
      <c r="AC139" s="8">
        <f t="shared" si="18"/>
        <v>14</v>
      </c>
      <c r="AD139" s="10">
        <f>(-3*(Table1_34[[#This Row],[Sample Description]]-2)+63.4)</f>
        <v>27.4</v>
      </c>
      <c r="AE139" s="10">
        <f>(-0.53*(Table1_34[[#This Row],[Sample Description]]-2)+11.27)</f>
        <v>4.9099999999999993</v>
      </c>
      <c r="AK139" s="8">
        <f t="shared" si="19"/>
        <v>14</v>
      </c>
      <c r="AL139" s="3" t="s">
        <v>9</v>
      </c>
      <c r="AM139" s="3" t="s">
        <v>9</v>
      </c>
    </row>
    <row r="140" spans="12:40" ht="15.75">
      <c r="M140" s="8">
        <f t="shared" si="16"/>
        <v>15</v>
      </c>
      <c r="N140" s="10">
        <f>(1.8*(Table1[[#This Row],[Sample Description]]-1)+83.4)</f>
        <v>108.60000000000001</v>
      </c>
      <c r="O140" s="10">
        <f>(0.32*(Table1[[#This Row],[Sample Description]]-1)+14.83)</f>
        <v>19.310000000000002</v>
      </c>
      <c r="U140" s="8">
        <f t="shared" si="17"/>
        <v>15</v>
      </c>
      <c r="V140" s="10">
        <f>(2.2*(Table1_3[[#This Row],[Sample Description]]-1)+88)</f>
        <v>118.80000000000001</v>
      </c>
      <c r="W140" s="10">
        <f>(0.4*(Table1_3[[#This Row],[Sample Description]]-1)+15.64)</f>
        <v>21.240000000000002</v>
      </c>
      <c r="AC140" s="8">
        <f t="shared" si="18"/>
        <v>15</v>
      </c>
      <c r="AD140" s="10">
        <f>(-3*(Table1_34[[#This Row],[Sample Description]]-2)+63.4)</f>
        <v>24.4</v>
      </c>
      <c r="AE140" s="10">
        <f>(-0.53*(Table1_34[[#This Row],[Sample Description]]-2)+11.27)</f>
        <v>4.379999999999999</v>
      </c>
      <c r="AK140" s="8">
        <f t="shared" si="19"/>
        <v>15</v>
      </c>
      <c r="AL140" s="3" t="s">
        <v>9</v>
      </c>
      <c r="AM140" s="3" t="s">
        <v>9</v>
      </c>
    </row>
    <row r="141" spans="12:40" ht="15.75">
      <c r="M141" s="8">
        <f t="shared" si="16"/>
        <v>16</v>
      </c>
      <c r="N141" s="10">
        <f>(1.8*(Table1[[#This Row],[Sample Description]]-1)+83.4)</f>
        <v>110.4</v>
      </c>
      <c r="O141" s="10">
        <f>(0.32*(Table1[[#This Row],[Sample Description]]-1)+14.83)</f>
        <v>19.63</v>
      </c>
      <c r="U141" s="8">
        <f t="shared" si="17"/>
        <v>16</v>
      </c>
      <c r="V141" s="10">
        <f>(2.2*(Table1_3[[#This Row],[Sample Description]]-1)+88)</f>
        <v>121</v>
      </c>
      <c r="W141" s="10">
        <f>(0.4*(Table1_3[[#This Row],[Sample Description]]-1)+15.64)</f>
        <v>21.64</v>
      </c>
      <c r="AC141" s="8">
        <f t="shared" si="18"/>
        <v>16</v>
      </c>
      <c r="AD141" s="10">
        <f>(-3*(Table1_34[[#This Row],[Sample Description]]-2)+63.4)</f>
        <v>21.4</v>
      </c>
      <c r="AE141" s="10">
        <f>(-0.53*(Table1_34[[#This Row],[Sample Description]]-2)+11.27)</f>
        <v>3.8499999999999996</v>
      </c>
      <c r="AK141" s="8">
        <f t="shared" si="19"/>
        <v>16</v>
      </c>
      <c r="AL141" s="3" t="s">
        <v>9</v>
      </c>
      <c r="AM141" s="3" t="s">
        <v>9</v>
      </c>
    </row>
    <row r="142" spans="12:40" ht="15.75">
      <c r="M142" s="8">
        <f t="shared" si="16"/>
        <v>17</v>
      </c>
      <c r="N142" s="10">
        <f>(1.8*(Table1[[#This Row],[Sample Description]]-1)+83.4)</f>
        <v>112.2</v>
      </c>
      <c r="O142" s="10">
        <f>(0.32*(Table1[[#This Row],[Sample Description]]-1)+14.83)</f>
        <v>19.95</v>
      </c>
      <c r="U142" s="8">
        <f t="shared" si="17"/>
        <v>17</v>
      </c>
      <c r="V142" s="10">
        <f>(2.2*(Table1_3[[#This Row],[Sample Description]]-1)+88)</f>
        <v>123.2</v>
      </c>
      <c r="W142" s="10">
        <f>(0.4*(Table1_3[[#This Row],[Sample Description]]-1)+15.64)</f>
        <v>22.04</v>
      </c>
      <c r="AC142" s="8">
        <f t="shared" si="18"/>
        <v>17</v>
      </c>
      <c r="AD142" s="10">
        <f>(-3*(Table1_34[[#This Row],[Sample Description]]-2)+63.4)</f>
        <v>18.399999999999999</v>
      </c>
      <c r="AE142" s="10">
        <f>(-0.53*(Table1_34[[#This Row],[Sample Description]]-2)+11.27)</f>
        <v>3.3199999999999994</v>
      </c>
      <c r="AK142" s="8">
        <f t="shared" si="19"/>
        <v>17</v>
      </c>
      <c r="AL142" s="3" t="s">
        <v>9</v>
      </c>
      <c r="AM142" s="3" t="s">
        <v>9</v>
      </c>
    </row>
    <row r="143" spans="12:40" ht="15.75">
      <c r="M143" s="8">
        <f t="shared" si="16"/>
        <v>18</v>
      </c>
      <c r="N143" s="10">
        <f>(1.8*(Table1[[#This Row],[Sample Description]]-1)+83.4)</f>
        <v>114</v>
      </c>
      <c r="O143" s="10">
        <f>(0.32*(Table1[[#This Row],[Sample Description]]-1)+14.83)</f>
        <v>20.27</v>
      </c>
      <c r="U143" s="8">
        <f t="shared" si="17"/>
        <v>18</v>
      </c>
      <c r="V143" s="10">
        <f>(2.2*(Table1_3[[#This Row],[Sample Description]]-1)+88)</f>
        <v>125.4</v>
      </c>
      <c r="W143" s="10">
        <f>(0.4*(Table1_3[[#This Row],[Sample Description]]-1)+15.64)</f>
        <v>22.44</v>
      </c>
      <c r="AC143" s="8">
        <f t="shared" si="18"/>
        <v>18</v>
      </c>
      <c r="AD143" s="10">
        <f>(-3*(Table1_34[[#This Row],[Sample Description]]-2)+63.4)</f>
        <v>15.399999999999999</v>
      </c>
      <c r="AE143" s="10">
        <f>(-0.53*(Table1_34[[#This Row],[Sample Description]]-2)+11.27)</f>
        <v>2.7899999999999991</v>
      </c>
      <c r="AK143" s="8">
        <f t="shared" si="19"/>
        <v>18</v>
      </c>
      <c r="AL143" s="3" t="s">
        <v>9</v>
      </c>
      <c r="AM143" s="3" t="s">
        <v>9</v>
      </c>
    </row>
    <row r="144" spans="12:40" ht="15.75">
      <c r="M144" s="8">
        <f t="shared" si="16"/>
        <v>19</v>
      </c>
      <c r="N144" s="10">
        <f>(1.8*(Table1[[#This Row],[Sample Description]]-1)+83.4)</f>
        <v>115.80000000000001</v>
      </c>
      <c r="O144" s="10">
        <f>(0.32*(Table1[[#This Row],[Sample Description]]-1)+14.83)</f>
        <v>20.59</v>
      </c>
      <c r="U144" s="8">
        <f t="shared" si="17"/>
        <v>19</v>
      </c>
      <c r="V144" s="10">
        <f>(2.2*(Table1_3[[#This Row],[Sample Description]]-1)+88)</f>
        <v>127.6</v>
      </c>
      <c r="W144" s="10">
        <f>(0.4*(Table1_3[[#This Row],[Sample Description]]-1)+15.64)</f>
        <v>22.84</v>
      </c>
      <c r="AC144" s="8">
        <f t="shared" si="18"/>
        <v>19</v>
      </c>
      <c r="AD144" s="10">
        <f>(-3*(Table1_34[[#This Row],[Sample Description]]-2)+63.4)</f>
        <v>12.399999999999999</v>
      </c>
      <c r="AE144" s="10">
        <f>(-0.53*(Table1_34[[#This Row],[Sample Description]]-2)+11.27)</f>
        <v>2.2599999999999998</v>
      </c>
      <c r="AK144" s="8">
        <f t="shared" si="19"/>
        <v>19</v>
      </c>
      <c r="AL144" s="3" t="s">
        <v>9</v>
      </c>
      <c r="AM144" s="3" t="s">
        <v>9</v>
      </c>
    </row>
    <row r="145" spans="12:40" ht="15.75">
      <c r="M145" s="8">
        <f t="shared" si="16"/>
        <v>20</v>
      </c>
      <c r="N145" s="10">
        <f>(1.8*(Table1[[#This Row],[Sample Description]]-1)+83.4)</f>
        <v>117.60000000000001</v>
      </c>
      <c r="O145" s="10">
        <f>(0.32*(Table1[[#This Row],[Sample Description]]-1)+14.83)</f>
        <v>20.91</v>
      </c>
      <c r="U145" s="8">
        <f t="shared" si="17"/>
        <v>20</v>
      </c>
      <c r="V145" s="10">
        <f>(2.2*(Table1_3[[#This Row],[Sample Description]]-1)+88)</f>
        <v>129.80000000000001</v>
      </c>
      <c r="W145" s="10">
        <f>(0.4*(Table1_3[[#This Row],[Sample Description]]-1)+15.64)</f>
        <v>23.240000000000002</v>
      </c>
      <c r="AC145" s="8">
        <f t="shared" si="18"/>
        <v>20</v>
      </c>
      <c r="AD145" s="10">
        <f>(-3*(Table1_34[[#This Row],[Sample Description]]-2)+63.4)</f>
        <v>9.3999999999999986</v>
      </c>
      <c r="AE145" s="10">
        <f>(-0.53*(Table1_34[[#This Row],[Sample Description]]-2)+11.27)</f>
        <v>1.7299999999999986</v>
      </c>
      <c r="AK145" s="8">
        <f t="shared" si="19"/>
        <v>20</v>
      </c>
      <c r="AL145" s="3" t="s">
        <v>9</v>
      </c>
      <c r="AM145" s="3" t="s">
        <v>9</v>
      </c>
    </row>
    <row r="146" spans="12:40" ht="15.75">
      <c r="L146" s="3"/>
      <c r="M146" s="3">
        <v>1</v>
      </c>
      <c r="N146" s="3">
        <v>56.6</v>
      </c>
      <c r="O146" s="3">
        <v>10.06</v>
      </c>
      <c r="P146" s="3"/>
      <c r="T146" s="3"/>
      <c r="U146" s="3">
        <v>1</v>
      </c>
      <c r="V146" s="5">
        <v>82.7</v>
      </c>
      <c r="W146" s="5">
        <v>14.7</v>
      </c>
      <c r="X146" s="5"/>
      <c r="AB146" s="3"/>
      <c r="AC146" s="3">
        <v>1</v>
      </c>
      <c r="AD146" s="5">
        <v>61</v>
      </c>
      <c r="AE146" s="5">
        <v>10.84</v>
      </c>
      <c r="AF146" s="3"/>
      <c r="AJ146" s="3"/>
      <c r="AK146" s="3">
        <v>1</v>
      </c>
      <c r="AL146" s="3" t="s">
        <v>9</v>
      </c>
      <c r="AM146" s="3" t="s">
        <v>9</v>
      </c>
      <c r="AN146" s="3"/>
    </row>
    <row r="147" spans="12:40" ht="15.75">
      <c r="L147" s="3"/>
      <c r="M147" s="3">
        <v>2</v>
      </c>
      <c r="N147" s="3">
        <v>76.7</v>
      </c>
      <c r="O147" s="3">
        <v>13.64</v>
      </c>
      <c r="P147" s="3"/>
      <c r="T147" s="3"/>
      <c r="U147" s="3">
        <v>2</v>
      </c>
      <c r="V147" s="5">
        <v>74.599999999999994</v>
      </c>
      <c r="W147" s="5">
        <v>13.26</v>
      </c>
      <c r="X147" s="5"/>
      <c r="AB147" s="3"/>
      <c r="AC147" s="3">
        <v>2</v>
      </c>
      <c r="AD147" s="5">
        <v>49.5</v>
      </c>
      <c r="AE147" s="5">
        <v>8.8000000000000007</v>
      </c>
      <c r="AF147" s="3"/>
      <c r="AJ147" s="3"/>
      <c r="AK147" s="3">
        <v>2</v>
      </c>
      <c r="AL147" s="3" t="s">
        <v>9</v>
      </c>
      <c r="AM147" s="3" t="s">
        <v>9</v>
      </c>
      <c r="AN147" s="3"/>
    </row>
    <row r="148" spans="12:40" ht="15.75">
      <c r="L148" s="3"/>
      <c r="M148" s="3">
        <v>3</v>
      </c>
      <c r="N148" s="3">
        <v>66.5</v>
      </c>
      <c r="O148" s="3">
        <v>11.82</v>
      </c>
      <c r="P148" s="3"/>
      <c r="T148" s="3"/>
      <c r="U148" s="3">
        <v>3</v>
      </c>
      <c r="V148" s="5">
        <v>67.8</v>
      </c>
      <c r="W148" s="5">
        <v>12.05</v>
      </c>
      <c r="X148" s="5"/>
      <c r="AB148" s="3"/>
      <c r="AC148" s="3">
        <v>3</v>
      </c>
      <c r="AD148" s="5">
        <v>74.3</v>
      </c>
      <c r="AE148" s="5">
        <v>13.21</v>
      </c>
      <c r="AF148" s="3"/>
      <c r="AJ148" s="3"/>
      <c r="AK148" s="3">
        <v>3</v>
      </c>
      <c r="AL148" s="3" t="s">
        <v>9</v>
      </c>
      <c r="AM148" s="3" t="s">
        <v>9</v>
      </c>
      <c r="AN148" s="3"/>
    </row>
    <row r="149" spans="12:40" ht="15.75">
      <c r="M149" s="8">
        <f>M148+1</f>
        <v>4</v>
      </c>
      <c r="N149" s="10">
        <f>(4.95*(Table1[[#This Row],[Sample Description]]-1)+56.6)</f>
        <v>71.45</v>
      </c>
      <c r="O149" s="10">
        <f>(0.88*(Table1[[#This Row],[Sample Description]]-1)+10.06)</f>
        <v>12.700000000000001</v>
      </c>
      <c r="U149" s="8">
        <f t="shared" ref="U149:U165" si="20">U148+1</f>
        <v>4</v>
      </c>
      <c r="V149">
        <f>(-6.8*(Table1_3[[#This Row],[Sample Description]]-2)+74.6)</f>
        <v>60.999999999999993</v>
      </c>
      <c r="W149" s="10">
        <f>(-1.23*(Table1_3[[#This Row],[Sample Description]]-2)+13.26)</f>
        <v>10.8</v>
      </c>
      <c r="AC149" s="8">
        <f t="shared" ref="AC149:AC165" si="21">AC148+1</f>
        <v>4</v>
      </c>
      <c r="AD149" s="10">
        <f>(6.65*(Table1_34[[#This Row],[Sample Description]]-1)+61)</f>
        <v>80.95</v>
      </c>
      <c r="AE149" s="10">
        <f>(1.19*(Table1_34[[#This Row],[Sample Description]]-1)+10.84)</f>
        <v>14.41</v>
      </c>
      <c r="AK149" s="8">
        <f t="shared" ref="AK149:AK165" si="22">AK148+1</f>
        <v>4</v>
      </c>
      <c r="AL149" s="3" t="s">
        <v>9</v>
      </c>
      <c r="AM149" s="3" t="s">
        <v>9</v>
      </c>
    </row>
    <row r="150" spans="12:40" ht="15.75">
      <c r="M150" s="8">
        <f t="shared" ref="M150:M165" si="23">M149+1</f>
        <v>5</v>
      </c>
      <c r="N150" s="10">
        <f>(4.95*(Table1[[#This Row],[Sample Description]]-1)+56.6)</f>
        <v>76.400000000000006</v>
      </c>
      <c r="O150" s="10">
        <f>(0.88*(Table1[[#This Row],[Sample Description]]-1)+10.06)</f>
        <v>13.58</v>
      </c>
      <c r="U150" s="8">
        <f t="shared" si="20"/>
        <v>5</v>
      </c>
      <c r="V150">
        <f>(-6.8*(Table1_3[[#This Row],[Sample Description]]-2)+74.6)</f>
        <v>54.199999999999996</v>
      </c>
      <c r="W150" s="10">
        <f>(-1.23*(Table1_3[[#This Row],[Sample Description]]-2)+13.26)</f>
        <v>9.57</v>
      </c>
      <c r="AC150" s="8">
        <f t="shared" si="21"/>
        <v>5</v>
      </c>
      <c r="AD150" s="10">
        <f>(6.65*(Table1_34[[#This Row],[Sample Description]]-1)+61)</f>
        <v>87.6</v>
      </c>
      <c r="AE150" s="10">
        <f>(1.19*(Table1_34[[#This Row],[Sample Description]]-1)+10.84)</f>
        <v>15.6</v>
      </c>
      <c r="AK150" s="8">
        <f t="shared" si="22"/>
        <v>5</v>
      </c>
      <c r="AL150" s="3" t="s">
        <v>9</v>
      </c>
      <c r="AM150" s="3" t="s">
        <v>9</v>
      </c>
    </row>
    <row r="151" spans="12:40" ht="15.75">
      <c r="M151" s="8">
        <f t="shared" si="23"/>
        <v>6</v>
      </c>
      <c r="N151" s="10">
        <f>(4.95*(Table1[[#This Row],[Sample Description]]-1)+56.6)</f>
        <v>81.349999999999994</v>
      </c>
      <c r="O151" s="10">
        <f>(0.88*(Table1[[#This Row],[Sample Description]]-1)+10.06)</f>
        <v>14.46</v>
      </c>
      <c r="U151" s="8">
        <f t="shared" si="20"/>
        <v>6</v>
      </c>
      <c r="V151">
        <f>(-6.8*(Table1_3[[#This Row],[Sample Description]]-2)+74.6)</f>
        <v>47.399999999999991</v>
      </c>
      <c r="W151" s="10">
        <f>(-1.23*(Table1_3[[#This Row],[Sample Description]]-2)+13.26)</f>
        <v>8.34</v>
      </c>
      <c r="AC151" s="8">
        <f t="shared" si="21"/>
        <v>6</v>
      </c>
      <c r="AD151" s="10">
        <f>(6.65*(Table1_34[[#This Row],[Sample Description]]-1)+61)</f>
        <v>94.25</v>
      </c>
      <c r="AE151" s="10">
        <f>(1.19*(Table1_34[[#This Row],[Sample Description]]-1)+10.84)</f>
        <v>16.79</v>
      </c>
      <c r="AK151" s="8">
        <f t="shared" si="22"/>
        <v>6</v>
      </c>
      <c r="AL151" s="3" t="s">
        <v>9</v>
      </c>
      <c r="AM151" s="3" t="s">
        <v>9</v>
      </c>
    </row>
    <row r="152" spans="12:40" ht="15.75">
      <c r="M152" s="8">
        <f t="shared" si="23"/>
        <v>7</v>
      </c>
      <c r="N152" s="10">
        <f>(4.95*(Table1[[#This Row],[Sample Description]]-1)+56.6)</f>
        <v>86.300000000000011</v>
      </c>
      <c r="O152" s="10">
        <f>(0.88*(Table1[[#This Row],[Sample Description]]-1)+10.06)</f>
        <v>15.34</v>
      </c>
      <c r="U152" s="8">
        <f t="shared" si="20"/>
        <v>7</v>
      </c>
      <c r="V152">
        <f>(-6.8*(Table1_3[[#This Row],[Sample Description]]-2)+74.6)</f>
        <v>40.599999999999994</v>
      </c>
      <c r="W152" s="10">
        <f>(-1.23*(Table1_3[[#This Row],[Sample Description]]-2)+13.26)</f>
        <v>7.1099999999999994</v>
      </c>
      <c r="AC152" s="8">
        <f t="shared" si="21"/>
        <v>7</v>
      </c>
      <c r="AD152" s="10">
        <f>(6.65*(Table1_34[[#This Row],[Sample Description]]-1)+61)</f>
        <v>100.9</v>
      </c>
      <c r="AE152" s="10">
        <f>(1.19*(Table1_34[[#This Row],[Sample Description]]-1)+10.84)</f>
        <v>17.98</v>
      </c>
      <c r="AK152" s="8">
        <f t="shared" si="22"/>
        <v>7</v>
      </c>
      <c r="AL152" s="3" t="s">
        <v>9</v>
      </c>
      <c r="AM152" s="3" t="s">
        <v>9</v>
      </c>
    </row>
    <row r="153" spans="12:40" ht="15.75">
      <c r="M153" s="8">
        <f t="shared" si="23"/>
        <v>8</v>
      </c>
      <c r="N153" s="10">
        <f>(4.95*(Table1[[#This Row],[Sample Description]]-1)+56.6)</f>
        <v>91.25</v>
      </c>
      <c r="O153" s="10">
        <f>(0.88*(Table1[[#This Row],[Sample Description]]-1)+10.06)</f>
        <v>16.22</v>
      </c>
      <c r="U153" s="8">
        <f t="shared" si="20"/>
        <v>8</v>
      </c>
      <c r="V153">
        <f>(-6.8*(Table1_3[[#This Row],[Sample Description]]-2)+74.6)</f>
        <v>33.799999999999997</v>
      </c>
      <c r="W153" s="10">
        <f>(-1.23*(Table1_3[[#This Row],[Sample Description]]-2)+13.26)</f>
        <v>5.88</v>
      </c>
      <c r="AC153" s="8">
        <f t="shared" si="21"/>
        <v>8</v>
      </c>
      <c r="AD153" s="10">
        <f>(6.65*(Table1_34[[#This Row],[Sample Description]]-1)+61)</f>
        <v>107.55000000000001</v>
      </c>
      <c r="AE153" s="10">
        <f>(1.19*(Table1_34[[#This Row],[Sample Description]]-1)+10.84)</f>
        <v>19.170000000000002</v>
      </c>
      <c r="AK153" s="8">
        <f t="shared" si="22"/>
        <v>8</v>
      </c>
      <c r="AL153" s="3" t="s">
        <v>9</v>
      </c>
      <c r="AM153" s="3" t="s">
        <v>9</v>
      </c>
    </row>
    <row r="154" spans="12:40" ht="15.75">
      <c r="M154" s="8">
        <f t="shared" si="23"/>
        <v>9</v>
      </c>
      <c r="N154" s="10">
        <f>(4.95*(Table1[[#This Row],[Sample Description]]-1)+56.6)</f>
        <v>96.2</v>
      </c>
      <c r="O154" s="10">
        <f>(0.88*(Table1[[#This Row],[Sample Description]]-1)+10.06)</f>
        <v>17.100000000000001</v>
      </c>
      <c r="U154" s="8">
        <f t="shared" si="20"/>
        <v>9</v>
      </c>
      <c r="V154">
        <f>(-6.8*(Table1_3[[#This Row],[Sample Description]]-2)+74.6)</f>
        <v>26.999999999999993</v>
      </c>
      <c r="W154" s="10">
        <f>(-1.23*(Table1_3[[#This Row],[Sample Description]]-2)+13.26)</f>
        <v>4.6500000000000004</v>
      </c>
      <c r="AC154" s="8">
        <f t="shared" si="21"/>
        <v>9</v>
      </c>
      <c r="AD154" s="10">
        <f>(6.65*(Table1_34[[#This Row],[Sample Description]]-1)+61)</f>
        <v>114.2</v>
      </c>
      <c r="AE154" s="10">
        <f>(1.19*(Table1_34[[#This Row],[Sample Description]]-1)+10.84)</f>
        <v>20.36</v>
      </c>
      <c r="AK154" s="8">
        <f t="shared" si="22"/>
        <v>9</v>
      </c>
      <c r="AL154" s="3" t="s">
        <v>9</v>
      </c>
      <c r="AM154" s="3" t="s">
        <v>9</v>
      </c>
    </row>
    <row r="155" spans="12:40" ht="15.75">
      <c r="L155" s="8" t="s">
        <v>17</v>
      </c>
      <c r="M155" s="8">
        <f t="shared" si="23"/>
        <v>10</v>
      </c>
      <c r="N155" s="10">
        <f>(4.95*(Table1[[#This Row],[Sample Description]]-1)+56.6)</f>
        <v>101.15</v>
      </c>
      <c r="O155" s="10">
        <f>(0.88*(Table1[[#This Row],[Sample Description]]-1)+10.06)</f>
        <v>17.98</v>
      </c>
      <c r="P155">
        <f>(SUM(O146:O165))/20</f>
        <v>18.554999999999996</v>
      </c>
      <c r="T155" s="8" t="s">
        <v>17</v>
      </c>
      <c r="U155" s="8">
        <f t="shared" si="20"/>
        <v>10</v>
      </c>
      <c r="V155">
        <f>(-6.8*(Table1_3[[#This Row],[Sample Description]]-2)+74.6)</f>
        <v>20.199999999999996</v>
      </c>
      <c r="W155" s="10">
        <f>(-1.23*(Table1_3[[#This Row],[Sample Description]]-2)+13.26)</f>
        <v>3.42</v>
      </c>
      <c r="X155" s="18">
        <f>(SUM(W146:W165))/20</f>
        <v>2.8164999999999996</v>
      </c>
      <c r="AB155" s="8" t="s">
        <v>17</v>
      </c>
      <c r="AC155" s="8">
        <f t="shared" si="21"/>
        <v>10</v>
      </c>
      <c r="AD155" s="10">
        <f>(6.65*(Table1_34[[#This Row],[Sample Description]]-1)+61)</f>
        <v>120.85</v>
      </c>
      <c r="AE155" s="10">
        <f>(1.19*(Table1_34[[#This Row],[Sample Description]]-1)+10.84)</f>
        <v>21.549999999999997</v>
      </c>
      <c r="AF155">
        <f>(SUM(AE146:AE165)/20)</f>
        <v>21.983000000000001</v>
      </c>
      <c r="AJ155" s="8" t="s">
        <v>17</v>
      </c>
      <c r="AK155" s="8">
        <f t="shared" si="22"/>
        <v>10</v>
      </c>
      <c r="AL155" s="3" t="s">
        <v>9</v>
      </c>
      <c r="AM155" s="3" t="s">
        <v>9</v>
      </c>
      <c r="AN155" s="10" t="s">
        <v>9</v>
      </c>
    </row>
    <row r="156" spans="12:40" ht="15.75">
      <c r="M156" s="8">
        <f t="shared" si="23"/>
        <v>11</v>
      </c>
      <c r="N156" s="10">
        <f>(4.95*(Table1[[#This Row],[Sample Description]]-1)+56.6)</f>
        <v>106.1</v>
      </c>
      <c r="O156" s="10">
        <f>(0.88*(Table1[[#This Row],[Sample Description]]-1)+10.06)</f>
        <v>18.86</v>
      </c>
      <c r="U156" s="8">
        <f t="shared" si="20"/>
        <v>11</v>
      </c>
      <c r="V156">
        <f>(-6.8*(Table1_3[[#This Row],[Sample Description]]-2)+74.6)</f>
        <v>13.399999999999999</v>
      </c>
      <c r="W156" s="10">
        <f>(-1.23*(Table1_3[[#This Row],[Sample Description]]-2)+13.26)</f>
        <v>2.1899999999999995</v>
      </c>
      <c r="AC156" s="8">
        <f t="shared" si="21"/>
        <v>11</v>
      </c>
      <c r="AD156" s="10">
        <f>(6.65*(Table1_34[[#This Row],[Sample Description]]-1)+61)</f>
        <v>127.5</v>
      </c>
      <c r="AE156" s="10">
        <f>(1.19*(Table1_34[[#This Row],[Sample Description]]-1)+10.84)</f>
        <v>22.74</v>
      </c>
      <c r="AK156" s="8">
        <f t="shared" si="22"/>
        <v>11</v>
      </c>
      <c r="AL156" s="3" t="s">
        <v>9</v>
      </c>
      <c r="AM156" s="3" t="s">
        <v>9</v>
      </c>
    </row>
    <row r="157" spans="12:40" ht="15.75">
      <c r="M157" s="8">
        <f t="shared" si="23"/>
        <v>12</v>
      </c>
      <c r="N157" s="10">
        <f>(4.95*(Table1[[#This Row],[Sample Description]]-1)+56.6)</f>
        <v>111.05000000000001</v>
      </c>
      <c r="O157" s="10">
        <f>(0.88*(Table1[[#This Row],[Sample Description]]-1)+10.06)</f>
        <v>19.740000000000002</v>
      </c>
      <c r="U157" s="8">
        <f t="shared" si="20"/>
        <v>12</v>
      </c>
      <c r="V157">
        <f>(-6.8*(Table1_3[[#This Row],[Sample Description]]-2)+74.6)</f>
        <v>6.5999999999999943</v>
      </c>
      <c r="W157" s="10">
        <f>(-1.23*(Table1_3[[#This Row],[Sample Description]]-2)+13.26)</f>
        <v>0.95999999999999908</v>
      </c>
      <c r="AC157" s="8">
        <f t="shared" si="21"/>
        <v>12</v>
      </c>
      <c r="AD157" s="10">
        <f>(6.65*(Table1_34[[#This Row],[Sample Description]]-1)+61)</f>
        <v>134.15</v>
      </c>
      <c r="AE157" s="10">
        <f>(1.19*(Table1_34[[#This Row],[Sample Description]]-1)+10.84)</f>
        <v>23.93</v>
      </c>
      <c r="AK157" s="8">
        <f t="shared" si="22"/>
        <v>12</v>
      </c>
      <c r="AL157" s="3" t="s">
        <v>9</v>
      </c>
      <c r="AM157" s="3" t="s">
        <v>9</v>
      </c>
    </row>
    <row r="158" spans="12:40" ht="15.75">
      <c r="M158" s="8">
        <f t="shared" si="23"/>
        <v>13</v>
      </c>
      <c r="N158" s="10">
        <f>(4.95*(Table1[[#This Row],[Sample Description]]-1)+56.6)</f>
        <v>116</v>
      </c>
      <c r="O158" s="10">
        <f>(0.88*(Table1[[#This Row],[Sample Description]]-1)+10.06)</f>
        <v>20.62</v>
      </c>
      <c r="U158" s="8">
        <f t="shared" si="20"/>
        <v>13</v>
      </c>
      <c r="V158">
        <f>(-6.8*(Table1_3[[#This Row],[Sample Description]]-2)+74.6)</f>
        <v>-0.20000000000000284</v>
      </c>
      <c r="W158" s="10">
        <f>(-1.23*(Table1_3[[#This Row],[Sample Description]]-2)+13.26)</f>
        <v>-0.26999999999999957</v>
      </c>
      <c r="AC158" s="8">
        <f t="shared" si="21"/>
        <v>13</v>
      </c>
      <c r="AD158" s="10">
        <f>(6.65*(Table1_34[[#This Row],[Sample Description]]-1)+61)</f>
        <v>140.80000000000001</v>
      </c>
      <c r="AE158" s="10">
        <f>(1.19*(Table1_34[[#This Row],[Sample Description]]-1)+10.84)</f>
        <v>25.119999999999997</v>
      </c>
      <c r="AK158" s="8">
        <f t="shared" si="22"/>
        <v>13</v>
      </c>
      <c r="AL158" s="3" t="s">
        <v>9</v>
      </c>
      <c r="AM158" s="3" t="s">
        <v>9</v>
      </c>
    </row>
    <row r="159" spans="12:40" ht="15.75">
      <c r="M159" s="8">
        <f t="shared" si="23"/>
        <v>14</v>
      </c>
      <c r="N159" s="10">
        <f>(4.95*(Table1[[#This Row],[Sample Description]]-1)+56.6)</f>
        <v>120.95000000000002</v>
      </c>
      <c r="O159" s="10">
        <f>(0.88*(Table1[[#This Row],[Sample Description]]-1)+10.06)</f>
        <v>21.5</v>
      </c>
      <c r="U159" s="8">
        <f t="shared" si="20"/>
        <v>14</v>
      </c>
      <c r="V159">
        <f>(-6.8*(Table1_3[[#This Row],[Sample Description]]-2)+74.6)</f>
        <v>-7</v>
      </c>
      <c r="W159" s="10">
        <f>(-1.23*(Table1_3[[#This Row],[Sample Description]]-2)+13.26)</f>
        <v>-1.5</v>
      </c>
      <c r="AC159" s="8">
        <f t="shared" si="21"/>
        <v>14</v>
      </c>
      <c r="AD159" s="10">
        <f>(6.65*(Table1_34[[#This Row],[Sample Description]]-1)+61)</f>
        <v>147.44999999999999</v>
      </c>
      <c r="AE159" s="10">
        <f>(1.19*(Table1_34[[#This Row],[Sample Description]]-1)+10.84)</f>
        <v>26.31</v>
      </c>
      <c r="AK159" s="8">
        <f t="shared" si="22"/>
        <v>14</v>
      </c>
      <c r="AL159" s="3" t="s">
        <v>9</v>
      </c>
      <c r="AM159" s="3" t="s">
        <v>9</v>
      </c>
    </row>
    <row r="160" spans="12:40" ht="15.75">
      <c r="M160" s="8">
        <f t="shared" si="23"/>
        <v>15</v>
      </c>
      <c r="N160" s="10">
        <f>(4.95*(Table1[[#This Row],[Sample Description]]-1)+56.6)</f>
        <v>125.9</v>
      </c>
      <c r="O160" s="10">
        <f>(0.88*(Table1[[#This Row],[Sample Description]]-1)+10.06)</f>
        <v>22.380000000000003</v>
      </c>
      <c r="U160" s="8">
        <f t="shared" si="20"/>
        <v>15</v>
      </c>
      <c r="V160">
        <f>(-6.8*(Table1_3[[#This Row],[Sample Description]]-2)+74.6)</f>
        <v>-13.799999999999997</v>
      </c>
      <c r="W160" s="10">
        <f>(-1.23*(Table1_3[[#This Row],[Sample Description]]-2)+13.26)</f>
        <v>-2.7300000000000004</v>
      </c>
      <c r="AC160" s="8">
        <f t="shared" si="21"/>
        <v>15</v>
      </c>
      <c r="AD160" s="10">
        <f>(6.65*(Table1_34[[#This Row],[Sample Description]]-1)+61)</f>
        <v>154.10000000000002</v>
      </c>
      <c r="AE160" s="10">
        <f>(1.19*(Table1_34[[#This Row],[Sample Description]]-1)+10.84)</f>
        <v>27.5</v>
      </c>
      <c r="AK160" s="8">
        <f t="shared" si="22"/>
        <v>15</v>
      </c>
      <c r="AL160" s="3" t="s">
        <v>9</v>
      </c>
      <c r="AM160" s="3" t="s">
        <v>9</v>
      </c>
    </row>
    <row r="161" spans="12:40" ht="15.75">
      <c r="M161" s="8">
        <f t="shared" si="23"/>
        <v>16</v>
      </c>
      <c r="N161" s="10">
        <f>(4.95*(Table1[[#This Row],[Sample Description]]-1)+56.6)</f>
        <v>130.85</v>
      </c>
      <c r="O161" s="10">
        <f>(0.88*(Table1[[#This Row],[Sample Description]]-1)+10.06)</f>
        <v>23.259999999999998</v>
      </c>
      <c r="U161" s="8">
        <f t="shared" si="20"/>
        <v>16</v>
      </c>
      <c r="V161">
        <f>(-6.8*(Table1_3[[#This Row],[Sample Description]]-2)+74.6)</f>
        <v>-20.600000000000009</v>
      </c>
      <c r="W161" s="10">
        <f>(-1.23*(Table1_3[[#This Row],[Sample Description]]-2)+13.26)</f>
        <v>-3.9599999999999991</v>
      </c>
      <c r="AC161" s="8">
        <f t="shared" si="21"/>
        <v>16</v>
      </c>
      <c r="AD161" s="10">
        <f>(6.65*(Table1_34[[#This Row],[Sample Description]]-1)+61)</f>
        <v>160.75</v>
      </c>
      <c r="AE161" s="10">
        <f>(1.19*(Table1_34[[#This Row],[Sample Description]]-1)+10.84)</f>
        <v>28.689999999999998</v>
      </c>
      <c r="AK161" s="8">
        <f t="shared" si="22"/>
        <v>16</v>
      </c>
      <c r="AL161" s="3" t="s">
        <v>9</v>
      </c>
      <c r="AM161" s="3" t="s">
        <v>9</v>
      </c>
    </row>
    <row r="162" spans="12:40" ht="15.75">
      <c r="M162" s="8">
        <f t="shared" si="23"/>
        <v>17</v>
      </c>
      <c r="N162" s="10">
        <f>(4.95*(Table1[[#This Row],[Sample Description]]-1)+56.6)</f>
        <v>135.80000000000001</v>
      </c>
      <c r="O162" s="10">
        <f>(0.88*(Table1[[#This Row],[Sample Description]]-1)+10.06)</f>
        <v>24.14</v>
      </c>
      <c r="U162" s="8">
        <f t="shared" si="20"/>
        <v>17</v>
      </c>
      <c r="V162">
        <f>(-6.8*(Table1_3[[#This Row],[Sample Description]]-2)+74.6)</f>
        <v>-27.400000000000006</v>
      </c>
      <c r="W162" s="10">
        <f>(-1.23*(Table1_3[[#This Row],[Sample Description]]-2)+13.26)</f>
        <v>-5.1899999999999995</v>
      </c>
      <c r="AC162" s="8">
        <f t="shared" si="21"/>
        <v>17</v>
      </c>
      <c r="AD162" s="10">
        <f>(6.65*(Table1_34[[#This Row],[Sample Description]]-1)+61)</f>
        <v>167.4</v>
      </c>
      <c r="AE162" s="10">
        <f>(1.19*(Table1_34[[#This Row],[Sample Description]]-1)+10.84)</f>
        <v>29.88</v>
      </c>
      <c r="AK162" s="8">
        <f t="shared" si="22"/>
        <v>17</v>
      </c>
      <c r="AL162" s="3" t="s">
        <v>9</v>
      </c>
      <c r="AM162" s="3" t="s">
        <v>9</v>
      </c>
    </row>
    <row r="163" spans="12:40" ht="15.75">
      <c r="M163" s="8">
        <f t="shared" si="23"/>
        <v>18</v>
      </c>
      <c r="N163" s="10">
        <f>(4.95*(Table1[[#This Row],[Sample Description]]-1)+56.6)</f>
        <v>140.75</v>
      </c>
      <c r="O163" s="10">
        <f>(0.88*(Table1[[#This Row],[Sample Description]]-1)+10.06)</f>
        <v>25.020000000000003</v>
      </c>
      <c r="U163" s="8">
        <f t="shared" si="20"/>
        <v>18</v>
      </c>
      <c r="V163">
        <f>(-6.8*(Table1_3[[#This Row],[Sample Description]]-2)+74.6)</f>
        <v>-34.200000000000003</v>
      </c>
      <c r="W163" s="10">
        <f>(-1.23*(Table1_3[[#This Row],[Sample Description]]-2)+13.26)</f>
        <v>-6.42</v>
      </c>
      <c r="AC163" s="8">
        <f t="shared" si="21"/>
        <v>18</v>
      </c>
      <c r="AD163" s="10">
        <f>(6.65*(Table1_34[[#This Row],[Sample Description]]-1)+61)</f>
        <v>174.05</v>
      </c>
      <c r="AE163" s="10">
        <f>(1.19*(Table1_34[[#This Row],[Sample Description]]-1)+10.84)</f>
        <v>31.07</v>
      </c>
      <c r="AK163" s="8">
        <f t="shared" si="22"/>
        <v>18</v>
      </c>
      <c r="AL163" s="3" t="s">
        <v>9</v>
      </c>
      <c r="AM163" s="3" t="s">
        <v>9</v>
      </c>
    </row>
    <row r="164" spans="12:40" ht="15.75">
      <c r="M164" s="8">
        <f t="shared" si="23"/>
        <v>19</v>
      </c>
      <c r="N164" s="10">
        <f>(4.95*(Table1[[#This Row],[Sample Description]]-1)+56.6)</f>
        <v>145.70000000000002</v>
      </c>
      <c r="O164" s="10">
        <f>(0.88*(Table1[[#This Row],[Sample Description]]-1)+10.06)</f>
        <v>25.9</v>
      </c>
      <c r="U164" s="8">
        <f t="shared" si="20"/>
        <v>19</v>
      </c>
      <c r="V164">
        <f>(-6.8*(Table1_3[[#This Row],[Sample Description]]-2)+74.6)</f>
        <v>-41</v>
      </c>
      <c r="W164" s="10">
        <f>(-1.23*(Table1_3[[#This Row],[Sample Description]]-2)+13.26)</f>
        <v>-7.65</v>
      </c>
      <c r="AC164" s="8">
        <f t="shared" si="21"/>
        <v>19</v>
      </c>
      <c r="AD164" s="10">
        <f>(6.65*(Table1_34[[#This Row],[Sample Description]]-1)+61)</f>
        <v>180.7</v>
      </c>
      <c r="AE164" s="10">
        <f>(1.19*(Table1_34[[#This Row],[Sample Description]]-1)+10.84)</f>
        <v>32.26</v>
      </c>
      <c r="AK164" s="8">
        <f t="shared" si="22"/>
        <v>19</v>
      </c>
      <c r="AL164" s="3" t="s">
        <v>9</v>
      </c>
      <c r="AM164" s="3" t="s">
        <v>9</v>
      </c>
    </row>
    <row r="165" spans="12:40" ht="15.75">
      <c r="M165" s="8">
        <f t="shared" si="23"/>
        <v>20</v>
      </c>
      <c r="N165" s="10">
        <f>(4.95*(Table1[[#This Row],[Sample Description]]-1)+56.6)</f>
        <v>150.65</v>
      </c>
      <c r="O165" s="10">
        <f>(0.88*(Table1[[#This Row],[Sample Description]]-1)+10.06)</f>
        <v>26.78</v>
      </c>
      <c r="U165" s="8">
        <f t="shared" si="20"/>
        <v>20</v>
      </c>
      <c r="V165">
        <f>(-6.8*(Table1_3[[#This Row],[Sample Description]]-2)+74.6)</f>
        <v>-47.8</v>
      </c>
      <c r="W165" s="10">
        <f>(-1.23*(Table1_3[[#This Row],[Sample Description]]-2)+13.26)</f>
        <v>-8.8800000000000008</v>
      </c>
      <c r="AC165" s="8">
        <f t="shared" si="21"/>
        <v>20</v>
      </c>
      <c r="AD165" s="10">
        <f>(6.65*(Table1_34[[#This Row],[Sample Description]]-1)+61)</f>
        <v>187.35000000000002</v>
      </c>
      <c r="AE165" s="10">
        <f>(1.19*(Table1_34[[#This Row],[Sample Description]]-1)+10.84)</f>
        <v>33.450000000000003</v>
      </c>
      <c r="AK165" s="8">
        <f t="shared" si="22"/>
        <v>20</v>
      </c>
      <c r="AL165" s="3" t="s">
        <v>9</v>
      </c>
      <c r="AM165" s="3" t="s">
        <v>9</v>
      </c>
    </row>
    <row r="166" spans="12:40" ht="15.75">
      <c r="L166" s="3"/>
      <c r="M166" s="3">
        <v>1</v>
      </c>
      <c r="N166" s="3">
        <v>80.8</v>
      </c>
      <c r="O166" s="3">
        <v>14.36</v>
      </c>
      <c r="P166" s="3"/>
      <c r="T166" s="3"/>
      <c r="U166" s="3">
        <v>1</v>
      </c>
      <c r="V166" s="5">
        <v>59.1</v>
      </c>
      <c r="W166" s="5">
        <v>10.51</v>
      </c>
      <c r="X166" s="5"/>
      <c r="AB166" s="3"/>
      <c r="AC166" s="3">
        <v>1</v>
      </c>
      <c r="AD166" s="5">
        <v>64.599999999999994</v>
      </c>
      <c r="AE166" s="5">
        <v>11.48</v>
      </c>
      <c r="AF166" s="3"/>
      <c r="AJ166" s="3"/>
      <c r="AK166" s="3">
        <v>1</v>
      </c>
      <c r="AL166" s="3" t="s">
        <v>9</v>
      </c>
      <c r="AM166" s="3" t="s">
        <v>9</v>
      </c>
      <c r="AN166" s="3"/>
    </row>
    <row r="167" spans="12:40" ht="15.75">
      <c r="L167" s="3"/>
      <c r="M167" s="3">
        <v>2</v>
      </c>
      <c r="N167" s="3">
        <v>64.2</v>
      </c>
      <c r="O167" s="3">
        <v>11.41</v>
      </c>
      <c r="P167" s="3"/>
      <c r="T167" s="3"/>
      <c r="U167" s="3">
        <v>2</v>
      </c>
      <c r="V167" s="5">
        <v>57.5</v>
      </c>
      <c r="W167" s="5">
        <v>10.220000000000001</v>
      </c>
      <c r="X167" s="5"/>
      <c r="AB167" s="3"/>
      <c r="AC167" s="3">
        <v>2</v>
      </c>
      <c r="AD167" s="5">
        <v>84.9</v>
      </c>
      <c r="AE167" s="5">
        <v>15.09</v>
      </c>
      <c r="AF167" s="3"/>
      <c r="AJ167" s="3"/>
      <c r="AK167" s="3">
        <v>2</v>
      </c>
      <c r="AL167" s="3" t="s">
        <v>9</v>
      </c>
      <c r="AM167" s="3" t="s">
        <v>9</v>
      </c>
      <c r="AN167" s="3"/>
    </row>
    <row r="168" spans="12:40" ht="15.75">
      <c r="M168" s="8">
        <f>M167+1</f>
        <v>3</v>
      </c>
      <c r="N168" s="14">
        <v>75.7</v>
      </c>
      <c r="O168" s="14">
        <v>13.46</v>
      </c>
      <c r="U168" s="8">
        <f t="shared" ref="U168:U185" si="24">U167+1</f>
        <v>3</v>
      </c>
      <c r="V168" s="7">
        <v>84.1</v>
      </c>
      <c r="W168" s="7">
        <v>14.95</v>
      </c>
      <c r="X168" s="15"/>
      <c r="AC168" s="8">
        <f t="shared" ref="AC168:AC185" si="25">AC167+1</f>
        <v>3</v>
      </c>
      <c r="AD168" s="7">
        <v>55.5</v>
      </c>
      <c r="AE168" s="7">
        <v>9.8699999999999992</v>
      </c>
      <c r="AK168" s="8">
        <f t="shared" ref="AK168:AK185" si="26">AK167+1</f>
        <v>3</v>
      </c>
      <c r="AL168" s="3" t="s">
        <v>9</v>
      </c>
      <c r="AM168" s="3" t="s">
        <v>9</v>
      </c>
    </row>
    <row r="169" spans="12:40" ht="15.75">
      <c r="M169" s="8">
        <f t="shared" ref="M169:M185" si="27">M168+1</f>
        <v>4</v>
      </c>
      <c r="N169" s="10">
        <f>(-2.55*(Table1[[#This Row],[Sample Description]]-1)+80.8)</f>
        <v>73.149999999999991</v>
      </c>
      <c r="O169" s="10">
        <f>(-0.45*(Table1[[#This Row],[Sample Description]]-1)+14.36)</f>
        <v>13.01</v>
      </c>
      <c r="U169" s="8">
        <f t="shared" si="24"/>
        <v>4</v>
      </c>
      <c r="V169" s="10">
        <f>(-1.6*(Table1_3[[#This Row],[Sample Description]]-1)+59.1)</f>
        <v>54.3</v>
      </c>
      <c r="W169" s="10">
        <f>(-0.29*(Table1_3[[#This Row],[Sample Description]]-1)+10.51)</f>
        <v>9.64</v>
      </c>
      <c r="AC169" s="8">
        <f t="shared" si="25"/>
        <v>4</v>
      </c>
      <c r="AD169" s="10">
        <f>(20.3*(Table1_34[[#This Row],[Sample Description]]-1)+64.6)</f>
        <v>125.5</v>
      </c>
      <c r="AE169" s="10">
        <f>(3.61*(Table1_34[[#This Row],[Sample Description]]-1)+11.48)</f>
        <v>22.310000000000002</v>
      </c>
      <c r="AK169" s="8">
        <f t="shared" si="26"/>
        <v>4</v>
      </c>
      <c r="AL169" s="3" t="s">
        <v>9</v>
      </c>
      <c r="AM169" s="3" t="s">
        <v>9</v>
      </c>
    </row>
    <row r="170" spans="12:40" ht="15.75">
      <c r="M170" s="8">
        <f t="shared" si="27"/>
        <v>5</v>
      </c>
      <c r="N170" s="10">
        <f t="shared" ref="N170:N185" si="28">(((M170-M169)*(N168-N169))/(M168-M169))+N169</f>
        <v>70.59999999999998</v>
      </c>
      <c r="O170" s="10">
        <f>(-0.45*(Table1[[#This Row],[Sample Description]]-1)+14.36)</f>
        <v>12.559999999999999</v>
      </c>
      <c r="U170" s="8">
        <f t="shared" si="24"/>
        <v>5</v>
      </c>
      <c r="V170" s="10">
        <f>(-1.6*(Table1_3[[#This Row],[Sample Description]]-1)+59.1)</f>
        <v>52.7</v>
      </c>
      <c r="W170" s="10">
        <f>(-0.29*(Table1_3[[#This Row],[Sample Description]]-1)+10.51)</f>
        <v>9.35</v>
      </c>
      <c r="AC170" s="8">
        <f t="shared" si="25"/>
        <v>5</v>
      </c>
      <c r="AD170" s="10">
        <f>(20.3*(Table1_34[[#This Row],[Sample Description]]-1)+64.6)</f>
        <v>145.80000000000001</v>
      </c>
      <c r="AE170" s="10">
        <f>(3.61*(Table1_34[[#This Row],[Sample Description]]-1)+11.48)</f>
        <v>25.92</v>
      </c>
      <c r="AK170" s="8">
        <f t="shared" si="26"/>
        <v>5</v>
      </c>
      <c r="AL170" s="3" t="s">
        <v>9</v>
      </c>
      <c r="AM170" s="3" t="s">
        <v>9</v>
      </c>
    </row>
    <row r="171" spans="12:40" ht="15.75">
      <c r="M171" s="8">
        <f t="shared" si="27"/>
        <v>6</v>
      </c>
      <c r="N171" s="10">
        <f t="shared" si="28"/>
        <v>68.049999999999969</v>
      </c>
      <c r="O171" s="10">
        <f>(-0.45*(Table1[[#This Row],[Sample Description]]-1)+14.36)</f>
        <v>12.11</v>
      </c>
      <c r="U171" s="8">
        <f t="shared" si="24"/>
        <v>6</v>
      </c>
      <c r="V171" s="10">
        <f>(-1.6*(Table1_3[[#This Row],[Sample Description]]-1)+59.1)</f>
        <v>51.1</v>
      </c>
      <c r="W171" s="10">
        <f>(-0.29*(Table1_3[[#This Row],[Sample Description]]-1)+10.51)</f>
        <v>9.06</v>
      </c>
      <c r="AC171" s="8">
        <f t="shared" si="25"/>
        <v>6</v>
      </c>
      <c r="AD171" s="10">
        <f>(20.3*(Table1_34[[#This Row],[Sample Description]]-1)+64.6)</f>
        <v>166.1</v>
      </c>
      <c r="AE171" s="10">
        <f>(3.61*(Table1_34[[#This Row],[Sample Description]]-1)+11.48)</f>
        <v>29.53</v>
      </c>
      <c r="AK171" s="8">
        <f t="shared" si="26"/>
        <v>6</v>
      </c>
      <c r="AL171" s="3" t="s">
        <v>9</v>
      </c>
      <c r="AM171" s="3" t="s">
        <v>9</v>
      </c>
    </row>
    <row r="172" spans="12:40" ht="15.75">
      <c r="M172" s="8">
        <f t="shared" si="27"/>
        <v>7</v>
      </c>
      <c r="N172" s="10">
        <f t="shared" si="28"/>
        <v>65.499999999999957</v>
      </c>
      <c r="O172" s="10">
        <f>(-0.45*(Table1[[#This Row],[Sample Description]]-1)+14.36)</f>
        <v>11.66</v>
      </c>
      <c r="U172" s="8">
        <f t="shared" si="24"/>
        <v>7</v>
      </c>
      <c r="V172" s="10">
        <f>(-1.6*(Table1_3[[#This Row],[Sample Description]]-1)+59.1)</f>
        <v>49.5</v>
      </c>
      <c r="W172" s="10">
        <f>(-0.29*(Table1_3[[#This Row],[Sample Description]]-1)+10.51)</f>
        <v>8.77</v>
      </c>
      <c r="AC172" s="8">
        <f t="shared" si="25"/>
        <v>7</v>
      </c>
      <c r="AD172" s="10">
        <f>(20.3*(Table1_34[[#This Row],[Sample Description]]-1)+64.6)</f>
        <v>186.4</v>
      </c>
      <c r="AE172" s="10">
        <f>(3.61*(Table1_34[[#This Row],[Sample Description]]-1)+11.48)</f>
        <v>33.14</v>
      </c>
      <c r="AK172" s="8">
        <f t="shared" si="26"/>
        <v>7</v>
      </c>
      <c r="AL172" s="3" t="s">
        <v>9</v>
      </c>
      <c r="AM172" s="3" t="s">
        <v>9</v>
      </c>
    </row>
    <row r="173" spans="12:40" ht="15.75">
      <c r="M173" s="8">
        <f t="shared" si="27"/>
        <v>8</v>
      </c>
      <c r="N173" s="10">
        <f t="shared" si="28"/>
        <v>62.949999999999946</v>
      </c>
      <c r="O173" s="10">
        <f>(-0.45*(Table1[[#This Row],[Sample Description]]-1)+14.36)</f>
        <v>11.209999999999999</v>
      </c>
      <c r="U173" s="8">
        <f t="shared" si="24"/>
        <v>8</v>
      </c>
      <c r="V173" s="10">
        <f>(-1.6*(Table1_3[[#This Row],[Sample Description]]-1)+59.1)</f>
        <v>47.9</v>
      </c>
      <c r="W173" s="10">
        <f>(-0.29*(Table1_3[[#This Row],[Sample Description]]-1)+10.51)</f>
        <v>8.48</v>
      </c>
      <c r="AC173" s="8">
        <f t="shared" si="25"/>
        <v>8</v>
      </c>
      <c r="AD173" s="10">
        <f>(20.3*(Table1_34[[#This Row],[Sample Description]]-1)+64.6)</f>
        <v>206.7</v>
      </c>
      <c r="AE173" s="10">
        <f>(3.61*(Table1_34[[#This Row],[Sample Description]]-1)+11.48)</f>
        <v>36.75</v>
      </c>
      <c r="AK173" s="8">
        <f t="shared" si="26"/>
        <v>8</v>
      </c>
      <c r="AL173" s="3" t="s">
        <v>9</v>
      </c>
      <c r="AM173" s="3" t="s">
        <v>9</v>
      </c>
    </row>
    <row r="174" spans="12:40" ht="15.75">
      <c r="M174" s="8">
        <f t="shared" si="27"/>
        <v>9</v>
      </c>
      <c r="N174" s="10">
        <f t="shared" si="28"/>
        <v>60.399999999999935</v>
      </c>
      <c r="O174" s="10">
        <f>(-0.45*(Table1[[#This Row],[Sample Description]]-1)+14.36)</f>
        <v>10.76</v>
      </c>
      <c r="U174" s="8">
        <f t="shared" si="24"/>
        <v>9</v>
      </c>
      <c r="V174" s="10">
        <f>(-1.6*(Table1_3[[#This Row],[Sample Description]]-1)+59.1)</f>
        <v>46.3</v>
      </c>
      <c r="W174" s="10">
        <f>(-0.29*(Table1_3[[#This Row],[Sample Description]]-1)+10.51)</f>
        <v>8.19</v>
      </c>
      <c r="AC174" s="8">
        <f t="shared" si="25"/>
        <v>9</v>
      </c>
      <c r="AD174" s="10">
        <f>(20.3*(Table1_34[[#This Row],[Sample Description]]-1)+64.6)</f>
        <v>227</v>
      </c>
      <c r="AE174" s="10">
        <f>(3.61*(Table1_34[[#This Row],[Sample Description]]-1)+11.48)</f>
        <v>40.36</v>
      </c>
      <c r="AK174" s="8">
        <f t="shared" si="26"/>
        <v>9</v>
      </c>
      <c r="AL174" s="3" t="s">
        <v>9</v>
      </c>
      <c r="AM174" s="3" t="s">
        <v>9</v>
      </c>
    </row>
    <row r="175" spans="12:40" ht="15.75">
      <c r="L175" s="8" t="s">
        <v>18</v>
      </c>
      <c r="M175" s="8">
        <f t="shared" si="27"/>
        <v>10</v>
      </c>
      <c r="N175" s="10">
        <f t="shared" si="28"/>
        <v>57.849999999999923</v>
      </c>
      <c r="O175" s="10">
        <f>(-0.45*(Table1[[#This Row],[Sample Description]]-1)+14.36)</f>
        <v>10.309999999999999</v>
      </c>
      <c r="P175">
        <f>(SUM(O166:O185))/20</f>
        <v>9.9599999999999991</v>
      </c>
      <c r="T175" s="8" t="s">
        <v>18</v>
      </c>
      <c r="U175" s="8">
        <f t="shared" si="24"/>
        <v>10</v>
      </c>
      <c r="V175" s="10">
        <f>(-1.6*(Table1_3[[#This Row],[Sample Description]]-1)+59.1)</f>
        <v>44.7</v>
      </c>
      <c r="W175" s="10">
        <f>(-0.29*(Table1_3[[#This Row],[Sample Description]]-1)+10.51)</f>
        <v>7.9</v>
      </c>
      <c r="X175">
        <f>(SUM(W166:W185)/20)</f>
        <v>8.0060000000000002</v>
      </c>
      <c r="AB175" s="8" t="s">
        <v>18</v>
      </c>
      <c r="AC175" s="8">
        <f t="shared" si="25"/>
        <v>10</v>
      </c>
      <c r="AD175" s="10">
        <f>(20.3*(Table1_34[[#This Row],[Sample Description]]-1)+64.6)</f>
        <v>247.3</v>
      </c>
      <c r="AE175" s="10">
        <f>(3.61*(Table1_34[[#This Row],[Sample Description]]-1)+11.48)</f>
        <v>43.97</v>
      </c>
      <c r="AF175">
        <f>(SUM(AE166:AE185)/20)</f>
        <v>45.333500000000001</v>
      </c>
      <c r="AJ175" s="8" t="s">
        <v>18</v>
      </c>
      <c r="AK175" s="8">
        <f t="shared" si="26"/>
        <v>10</v>
      </c>
      <c r="AL175" s="3" t="s">
        <v>9</v>
      </c>
      <c r="AM175" s="3" t="s">
        <v>9</v>
      </c>
      <c r="AN175" s="10" t="s">
        <v>9</v>
      </c>
    </row>
    <row r="176" spans="12:40" ht="15.75">
      <c r="M176" s="8">
        <f t="shared" si="27"/>
        <v>11</v>
      </c>
      <c r="N176" s="10">
        <f t="shared" si="28"/>
        <v>55.299999999999912</v>
      </c>
      <c r="O176" s="10">
        <f>(-0.45*(Table1[[#This Row],[Sample Description]]-1)+14.36)</f>
        <v>9.86</v>
      </c>
      <c r="U176" s="8">
        <f t="shared" si="24"/>
        <v>11</v>
      </c>
      <c r="V176" s="10">
        <f>(-1.6*(Table1_3[[#This Row],[Sample Description]]-1)+59.1)</f>
        <v>43.1</v>
      </c>
      <c r="W176" s="10">
        <f>(-0.29*(Table1_3[[#This Row],[Sample Description]]-1)+10.51)</f>
        <v>7.6099999999999994</v>
      </c>
      <c r="AC176" s="8">
        <f t="shared" si="25"/>
        <v>11</v>
      </c>
      <c r="AD176" s="10">
        <f>(20.3*(Table1_34[[#This Row],[Sample Description]]-1)+64.6)</f>
        <v>267.60000000000002</v>
      </c>
      <c r="AE176" s="10">
        <f>(3.61*(Table1_34[[#This Row],[Sample Description]]-1)+11.48)</f>
        <v>47.58</v>
      </c>
      <c r="AK176" s="8">
        <f t="shared" si="26"/>
        <v>11</v>
      </c>
      <c r="AL176" s="3" t="s">
        <v>9</v>
      </c>
      <c r="AM176" s="3" t="s">
        <v>9</v>
      </c>
    </row>
    <row r="177" spans="13:39" ht="15.75">
      <c r="M177" s="8">
        <f t="shared" si="27"/>
        <v>12</v>
      </c>
      <c r="N177" s="10">
        <f t="shared" si="28"/>
        <v>52.749999999999901</v>
      </c>
      <c r="O177" s="10">
        <f>(-0.45*(Table1[[#This Row],[Sample Description]]-1)+14.36)</f>
        <v>9.41</v>
      </c>
      <c r="U177" s="8">
        <f t="shared" si="24"/>
        <v>12</v>
      </c>
      <c r="V177" s="10">
        <f>(-1.6*(Table1_3[[#This Row],[Sample Description]]-1)+59.1)</f>
        <v>41.5</v>
      </c>
      <c r="W177" s="10">
        <f>(-0.29*(Table1_3[[#This Row],[Sample Description]]-1)+10.51)</f>
        <v>7.32</v>
      </c>
      <c r="AC177" s="8">
        <f t="shared" si="25"/>
        <v>12</v>
      </c>
      <c r="AD177" s="10">
        <f>(20.3*(Table1_34[[#This Row],[Sample Description]]-1)+64.6)</f>
        <v>287.89999999999998</v>
      </c>
      <c r="AE177" s="10">
        <f>(3.61*(Table1_34[[#This Row],[Sample Description]]-1)+11.48)</f>
        <v>51.19</v>
      </c>
      <c r="AK177" s="8">
        <f t="shared" si="26"/>
        <v>12</v>
      </c>
      <c r="AL177" s="3" t="s">
        <v>9</v>
      </c>
      <c r="AM177" s="3" t="s">
        <v>9</v>
      </c>
    </row>
    <row r="178" spans="13:39" ht="15.75">
      <c r="M178" s="8">
        <f t="shared" si="27"/>
        <v>13</v>
      </c>
      <c r="N178" s="10">
        <f t="shared" si="28"/>
        <v>50.199999999999889</v>
      </c>
      <c r="O178" s="10">
        <f>(-0.45*(Table1[[#This Row],[Sample Description]]-1)+14.36)</f>
        <v>8.9599999999999991</v>
      </c>
      <c r="U178" s="8">
        <f t="shared" si="24"/>
        <v>13</v>
      </c>
      <c r="V178" s="10">
        <f>(-1.6*(Table1_3[[#This Row],[Sample Description]]-1)+59.1)</f>
        <v>39.9</v>
      </c>
      <c r="W178" s="10">
        <f>(-0.29*(Table1_3[[#This Row],[Sample Description]]-1)+10.51)</f>
        <v>7.03</v>
      </c>
      <c r="AC178" s="8">
        <f t="shared" si="25"/>
        <v>13</v>
      </c>
      <c r="AD178" s="10">
        <f>(20.3*(Table1_34[[#This Row],[Sample Description]]-1)+64.6)</f>
        <v>308.20000000000005</v>
      </c>
      <c r="AE178" s="10">
        <f>(3.61*(Table1_34[[#This Row],[Sample Description]]-1)+11.48)</f>
        <v>54.8</v>
      </c>
      <c r="AK178" s="8">
        <f t="shared" si="26"/>
        <v>13</v>
      </c>
      <c r="AL178" s="3" t="s">
        <v>9</v>
      </c>
      <c r="AM178" s="3" t="s">
        <v>9</v>
      </c>
    </row>
    <row r="179" spans="13:39" ht="15.75">
      <c r="M179" s="8">
        <f t="shared" si="27"/>
        <v>14</v>
      </c>
      <c r="N179" s="10">
        <f t="shared" si="28"/>
        <v>47.649999999999878</v>
      </c>
      <c r="O179" s="10">
        <f>(-0.45*(Table1[[#This Row],[Sample Description]]-1)+14.36)</f>
        <v>8.509999999999998</v>
      </c>
      <c r="U179" s="8">
        <f t="shared" si="24"/>
        <v>14</v>
      </c>
      <c r="V179" s="10">
        <f>(-1.6*(Table1_3[[#This Row],[Sample Description]]-1)+59.1)</f>
        <v>38.299999999999997</v>
      </c>
      <c r="W179" s="10">
        <f>(-0.29*(Table1_3[[#This Row],[Sample Description]]-1)+10.51)</f>
        <v>6.74</v>
      </c>
      <c r="AC179" s="8">
        <f t="shared" si="25"/>
        <v>14</v>
      </c>
      <c r="AD179" s="10">
        <f>(20.3*(Table1_34[[#This Row],[Sample Description]]-1)+64.6)</f>
        <v>328.5</v>
      </c>
      <c r="AE179" s="10">
        <f>(3.61*(Table1_34[[#This Row],[Sample Description]]-1)+11.48)</f>
        <v>58.41</v>
      </c>
      <c r="AK179" s="8">
        <f t="shared" si="26"/>
        <v>14</v>
      </c>
      <c r="AL179" s="3" t="s">
        <v>9</v>
      </c>
      <c r="AM179" s="3" t="s">
        <v>9</v>
      </c>
    </row>
    <row r="180" spans="13:39" ht="15.75">
      <c r="M180" s="8">
        <f t="shared" si="27"/>
        <v>15</v>
      </c>
      <c r="N180" s="10">
        <f t="shared" si="28"/>
        <v>45.099999999999866</v>
      </c>
      <c r="O180" s="10">
        <f>(-0.45*(Table1[[#This Row],[Sample Description]]-1)+14.36)</f>
        <v>8.0599999999999987</v>
      </c>
      <c r="U180" s="8">
        <f t="shared" si="24"/>
        <v>15</v>
      </c>
      <c r="V180" s="10">
        <f>(-1.6*(Table1_3[[#This Row],[Sample Description]]-1)+59.1)</f>
        <v>36.700000000000003</v>
      </c>
      <c r="W180" s="10">
        <f>(-0.29*(Table1_3[[#This Row],[Sample Description]]-1)+10.51)</f>
        <v>6.45</v>
      </c>
      <c r="AC180" s="8">
        <f t="shared" si="25"/>
        <v>15</v>
      </c>
      <c r="AD180" s="10">
        <f>(20.3*(Table1_34[[#This Row],[Sample Description]]-1)+64.6)</f>
        <v>348.79999999999995</v>
      </c>
      <c r="AE180" s="10">
        <f>(3.61*(Table1_34[[#This Row],[Sample Description]]-1)+11.48)</f>
        <v>62.019999999999996</v>
      </c>
      <c r="AK180" s="8">
        <f t="shared" si="26"/>
        <v>15</v>
      </c>
      <c r="AL180" s="3" t="s">
        <v>9</v>
      </c>
      <c r="AM180" s="3" t="s">
        <v>9</v>
      </c>
    </row>
    <row r="181" spans="13:39" ht="15.75">
      <c r="M181" s="8">
        <f t="shared" si="27"/>
        <v>16</v>
      </c>
      <c r="N181" s="10">
        <f t="shared" si="28"/>
        <v>42.549999999999855</v>
      </c>
      <c r="O181" s="10">
        <f>(-0.45*(Table1[[#This Row],[Sample Description]]-1)+14.36)</f>
        <v>7.6099999999999994</v>
      </c>
      <c r="U181" s="8">
        <f t="shared" si="24"/>
        <v>16</v>
      </c>
      <c r="V181" s="10">
        <f>(-1.6*(Table1_3[[#This Row],[Sample Description]]-1)+59.1)</f>
        <v>35.1</v>
      </c>
      <c r="W181" s="10">
        <f>(-0.29*(Table1_3[[#This Row],[Sample Description]]-1)+10.51)</f>
        <v>6.16</v>
      </c>
      <c r="AC181" s="8">
        <f t="shared" si="25"/>
        <v>16</v>
      </c>
      <c r="AD181" s="10">
        <f>(20.3*(Table1_34[[#This Row],[Sample Description]]-1)+64.6)</f>
        <v>369.1</v>
      </c>
      <c r="AE181" s="10">
        <f>(3.61*(Table1_34[[#This Row],[Sample Description]]-1)+11.48)</f>
        <v>65.63</v>
      </c>
      <c r="AK181" s="8">
        <f t="shared" si="26"/>
        <v>16</v>
      </c>
      <c r="AL181" s="3" t="s">
        <v>9</v>
      </c>
      <c r="AM181" s="3" t="s">
        <v>9</v>
      </c>
    </row>
    <row r="182" spans="13:39" ht="15.75">
      <c r="M182" s="8">
        <f t="shared" si="27"/>
        <v>17</v>
      </c>
      <c r="N182" s="10">
        <f t="shared" si="28"/>
        <v>39.999999999999844</v>
      </c>
      <c r="O182" s="10">
        <f>(-0.45*(Table1[[#This Row],[Sample Description]]-1)+14.36)</f>
        <v>7.1599999999999993</v>
      </c>
      <c r="U182" s="8">
        <f t="shared" si="24"/>
        <v>17</v>
      </c>
      <c r="V182" s="10">
        <f>(-1.6*(Table1_3[[#This Row],[Sample Description]]-1)+59.1)</f>
        <v>33.5</v>
      </c>
      <c r="W182" s="10">
        <f>(-0.29*(Table1_3[[#This Row],[Sample Description]]-1)+10.51)</f>
        <v>5.87</v>
      </c>
      <c r="AC182" s="8">
        <f t="shared" si="25"/>
        <v>17</v>
      </c>
      <c r="AD182" s="10">
        <f>(20.3*(Table1_34[[#This Row],[Sample Description]]-1)+64.6)</f>
        <v>389.4</v>
      </c>
      <c r="AE182" s="10">
        <f>(3.61*(Table1_34[[#This Row],[Sample Description]]-1)+11.48)</f>
        <v>69.239999999999995</v>
      </c>
      <c r="AK182" s="8">
        <f t="shared" si="26"/>
        <v>17</v>
      </c>
      <c r="AL182" s="3" t="s">
        <v>9</v>
      </c>
      <c r="AM182" s="3" t="s">
        <v>9</v>
      </c>
    </row>
    <row r="183" spans="13:39" ht="15.75">
      <c r="M183" s="8">
        <f t="shared" si="27"/>
        <v>18</v>
      </c>
      <c r="N183" s="10">
        <f t="shared" si="28"/>
        <v>37.449999999999832</v>
      </c>
      <c r="O183" s="10">
        <f>(-0.45*(Table1[[#This Row],[Sample Description]]-1)+14.36)</f>
        <v>6.7099999999999991</v>
      </c>
      <c r="U183" s="8">
        <f t="shared" si="24"/>
        <v>18</v>
      </c>
      <c r="V183" s="10">
        <f>(-1.6*(Table1_3[[#This Row],[Sample Description]]-1)+59.1)</f>
        <v>31.9</v>
      </c>
      <c r="W183" s="10">
        <f>(-0.29*(Table1_3[[#This Row],[Sample Description]]-1)+10.51)</f>
        <v>5.58</v>
      </c>
      <c r="AC183" s="8">
        <f t="shared" si="25"/>
        <v>18</v>
      </c>
      <c r="AD183" s="10">
        <f>(20.3*(Table1_34[[#This Row],[Sample Description]]-1)+64.6)</f>
        <v>409.70000000000005</v>
      </c>
      <c r="AE183" s="10">
        <f>(3.61*(Table1_34[[#This Row],[Sample Description]]-1)+11.48)</f>
        <v>72.849999999999994</v>
      </c>
      <c r="AK183" s="8">
        <f t="shared" si="26"/>
        <v>18</v>
      </c>
      <c r="AL183" s="3" t="s">
        <v>9</v>
      </c>
      <c r="AM183" s="3" t="s">
        <v>9</v>
      </c>
    </row>
    <row r="184" spans="13:39" ht="15.75">
      <c r="M184" s="8">
        <f t="shared" si="27"/>
        <v>19</v>
      </c>
      <c r="N184" s="10">
        <f t="shared" si="28"/>
        <v>34.899999999999821</v>
      </c>
      <c r="O184" s="10">
        <f>(-0.45*(Table1[[#This Row],[Sample Description]]-1)+14.36)</f>
        <v>6.26</v>
      </c>
      <c r="U184" s="8">
        <f t="shared" si="24"/>
        <v>19</v>
      </c>
      <c r="V184" s="10">
        <f>(-1.6*(Table1_3[[#This Row],[Sample Description]]-1)+59.1)</f>
        <v>30.3</v>
      </c>
      <c r="W184" s="10">
        <f>(-0.29*(Table1_3[[#This Row],[Sample Description]]-1)+10.51)</f>
        <v>5.29</v>
      </c>
      <c r="AC184" s="8">
        <f t="shared" si="25"/>
        <v>19</v>
      </c>
      <c r="AD184" s="10">
        <f>(20.3*(Table1_34[[#This Row],[Sample Description]]-1)+64.6)</f>
        <v>430</v>
      </c>
      <c r="AE184" s="10">
        <f>(3.61*(Table1_34[[#This Row],[Sample Description]]-1)+11.48)</f>
        <v>76.460000000000008</v>
      </c>
      <c r="AK184" s="8">
        <f t="shared" si="26"/>
        <v>19</v>
      </c>
      <c r="AL184" s="3" t="s">
        <v>9</v>
      </c>
      <c r="AM184" s="3" t="s">
        <v>9</v>
      </c>
    </row>
    <row r="185" spans="13:39" ht="15.75">
      <c r="M185" s="8">
        <f t="shared" si="27"/>
        <v>20</v>
      </c>
      <c r="N185" s="10">
        <f t="shared" si="28"/>
        <v>32.34999999999981</v>
      </c>
      <c r="O185" s="10">
        <f>(-0.45*(Table1[[#This Row],[Sample Description]]-1)+14.36)</f>
        <v>5.8099999999999987</v>
      </c>
      <c r="U185" s="8">
        <f t="shared" si="24"/>
        <v>20</v>
      </c>
      <c r="V185" s="10">
        <f>(-1.6*(Table1_3[[#This Row],[Sample Description]]-1)+59.1)</f>
        <v>28.7</v>
      </c>
      <c r="W185" s="10">
        <f>(-0.29*(Table1_3[[#This Row],[Sample Description]]-1)+10.51)</f>
        <v>5</v>
      </c>
      <c r="AC185" s="8">
        <f t="shared" si="25"/>
        <v>20</v>
      </c>
      <c r="AD185" s="10">
        <f>(20.3*(Table1_34[[#This Row],[Sample Description]]-1)+64.6)</f>
        <v>450.29999999999995</v>
      </c>
      <c r="AE185" s="10">
        <f>(3.61*(Table1_34[[#This Row],[Sample Description]]-1)+11.48)</f>
        <v>80.070000000000007</v>
      </c>
      <c r="AK185" s="8">
        <f t="shared" si="26"/>
        <v>20</v>
      </c>
      <c r="AL185" s="3" t="s">
        <v>9</v>
      </c>
      <c r="AM185" s="3" t="s">
        <v>9</v>
      </c>
    </row>
  </sheetData>
  <mergeCells count="36">
    <mergeCell ref="B35:B37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B11:B13"/>
    <mergeCell ref="B14:B16"/>
    <mergeCell ref="B17:B19"/>
    <mergeCell ref="B20:B22"/>
    <mergeCell ref="B23:B25"/>
    <mergeCell ref="AT20:AT22"/>
    <mergeCell ref="AT23:AT25"/>
    <mergeCell ref="B26:B28"/>
    <mergeCell ref="B29:B31"/>
    <mergeCell ref="B32:B34"/>
    <mergeCell ref="AT26:AT28"/>
    <mergeCell ref="AT29:AT31"/>
    <mergeCell ref="AT32:AT34"/>
    <mergeCell ref="AT35:AT37"/>
    <mergeCell ref="AX11:AX13"/>
    <mergeCell ref="AX14:AX16"/>
    <mergeCell ref="AX17:AX19"/>
    <mergeCell ref="AX20:AX22"/>
    <mergeCell ref="AX23:AX25"/>
    <mergeCell ref="AX26:AX28"/>
    <mergeCell ref="AX29:AX31"/>
    <mergeCell ref="AX32:AX34"/>
    <mergeCell ref="AX35:AX37"/>
    <mergeCell ref="AT11:AT13"/>
    <mergeCell ref="AT14:AT16"/>
    <mergeCell ref="AT17:AT19"/>
  </mergeCells>
  <pageMargins left="0.7" right="0.7" top="0.75" bottom="0.75" header="0.3" footer="0.3"/>
  <pageSetup orientation="portrait"/>
  <ignoredErrors>
    <ignoredError sqref="U9 U6:U7 M9" calculatedColumn="1"/>
  </ignoredErrors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AH186"/>
  <sheetViews>
    <sheetView topLeftCell="A175" workbookViewId="0">
      <selection activeCell="L185" sqref="L185"/>
    </sheetView>
  </sheetViews>
  <sheetFormatPr defaultRowHeight="15"/>
  <sheetData>
    <row r="2" spans="2:34">
      <c r="B2" t="s">
        <v>19</v>
      </c>
    </row>
    <row r="4" spans="2:34">
      <c r="F4" t="s">
        <v>20</v>
      </c>
      <c r="N4" t="s">
        <v>21</v>
      </c>
      <c r="V4" t="s">
        <v>22</v>
      </c>
      <c r="AD4" t="s">
        <v>23</v>
      </c>
    </row>
    <row r="6" spans="2:34" ht="17.25">
      <c r="F6" t="s">
        <v>4</v>
      </c>
      <c r="G6" t="s">
        <v>5</v>
      </c>
      <c r="H6" t="s">
        <v>6</v>
      </c>
      <c r="I6" t="s">
        <v>7</v>
      </c>
      <c r="J6" t="s">
        <v>8</v>
      </c>
      <c r="N6" t="s">
        <v>4</v>
      </c>
      <c r="O6" t="s">
        <v>5</v>
      </c>
      <c r="P6" t="s">
        <v>6</v>
      </c>
      <c r="Q6" t="s">
        <v>7</v>
      </c>
      <c r="R6" t="s">
        <v>8</v>
      </c>
      <c r="V6" t="s">
        <v>4</v>
      </c>
      <c r="W6" t="s">
        <v>5</v>
      </c>
      <c r="X6" t="s">
        <v>6</v>
      </c>
      <c r="Y6" t="s">
        <v>7</v>
      </c>
      <c r="Z6" t="s">
        <v>8</v>
      </c>
      <c r="AD6" t="s">
        <v>4</v>
      </c>
      <c r="AE6" t="s">
        <v>5</v>
      </c>
      <c r="AF6" t="s">
        <v>6</v>
      </c>
      <c r="AG6" t="s">
        <v>7</v>
      </c>
      <c r="AH6" t="s">
        <v>8</v>
      </c>
    </row>
    <row r="7" spans="2:34" ht="15.75">
      <c r="F7" s="3"/>
      <c r="G7" s="3">
        <v>1</v>
      </c>
      <c r="H7" s="3">
        <v>21.3</v>
      </c>
      <c r="I7" s="3">
        <v>2.71</v>
      </c>
      <c r="J7" s="3"/>
      <c r="N7" s="3"/>
      <c r="O7" s="5">
        <v>1</v>
      </c>
      <c r="P7" s="5">
        <v>21.7</v>
      </c>
      <c r="Q7" s="5">
        <v>2.76</v>
      </c>
      <c r="R7" s="5"/>
      <c r="V7" s="3"/>
      <c r="W7" s="3">
        <v>1</v>
      </c>
      <c r="X7" s="5">
        <v>28.6</v>
      </c>
      <c r="Y7" s="5">
        <v>3.64</v>
      </c>
      <c r="Z7" s="3"/>
      <c r="AD7" s="3"/>
      <c r="AE7" s="3">
        <v>1</v>
      </c>
      <c r="AF7" s="3" t="s">
        <v>24</v>
      </c>
      <c r="AG7" s="3" t="s">
        <v>24</v>
      </c>
      <c r="AH7" s="3"/>
    </row>
    <row r="8" spans="2:34" ht="15.75">
      <c r="F8" s="3"/>
      <c r="G8" s="3">
        <v>2</v>
      </c>
      <c r="H8" s="3">
        <v>18.7</v>
      </c>
      <c r="I8" s="3">
        <v>2.38</v>
      </c>
      <c r="J8" s="3"/>
      <c r="N8" s="3"/>
      <c r="O8" s="5">
        <v>2</v>
      </c>
      <c r="P8" s="5">
        <v>23.7</v>
      </c>
      <c r="Q8" s="5">
        <v>3.02</v>
      </c>
      <c r="R8" s="5"/>
      <c r="V8" s="3"/>
      <c r="W8" s="3">
        <v>2</v>
      </c>
      <c r="X8" s="5">
        <v>31.5</v>
      </c>
      <c r="Y8" s="5">
        <v>4.01</v>
      </c>
      <c r="Z8" s="3"/>
      <c r="AD8" s="3"/>
      <c r="AE8" s="3">
        <v>2</v>
      </c>
      <c r="AF8" s="3" t="s">
        <v>24</v>
      </c>
      <c r="AG8" s="3" t="s">
        <v>24</v>
      </c>
      <c r="AH8" s="3"/>
    </row>
    <row r="9" spans="2:34" ht="15.75">
      <c r="F9" s="3"/>
      <c r="G9" s="3">
        <v>3</v>
      </c>
      <c r="H9" s="3">
        <v>22.2</v>
      </c>
      <c r="I9" s="3">
        <v>2.83</v>
      </c>
      <c r="J9" s="3"/>
      <c r="N9" s="3"/>
      <c r="O9" s="5">
        <v>3</v>
      </c>
      <c r="P9" s="5">
        <v>25.4</v>
      </c>
      <c r="Q9" s="5">
        <v>3.23</v>
      </c>
      <c r="R9" s="5"/>
      <c r="V9" s="3"/>
      <c r="W9" s="3">
        <v>3</v>
      </c>
      <c r="X9" s="5">
        <v>27.5</v>
      </c>
      <c r="Y9" s="5">
        <v>3.5</v>
      </c>
      <c r="Z9" s="3"/>
      <c r="AD9" s="3"/>
      <c r="AE9" s="3">
        <v>3</v>
      </c>
      <c r="AF9" s="3" t="s">
        <v>24</v>
      </c>
      <c r="AG9" s="3" t="s">
        <v>24</v>
      </c>
      <c r="AH9" s="3"/>
    </row>
    <row r="10" spans="2:34" ht="15.75">
      <c r="F10" s="3"/>
      <c r="G10" s="3">
        <v>4</v>
      </c>
      <c r="H10" s="3">
        <f>0.45*(Table16[[#This Row],[Sample Description]]-1)+21.3</f>
        <v>22.650000000000002</v>
      </c>
      <c r="I10" s="3">
        <f>0.06*(Table16[[#This Row],[Sample Description]]-1)+2.71</f>
        <v>2.89</v>
      </c>
      <c r="J10" s="3"/>
      <c r="N10" s="3"/>
      <c r="O10" s="3">
        <v>4</v>
      </c>
      <c r="P10" s="3">
        <f>(2*(O10-1)+21.7)</f>
        <v>27.7</v>
      </c>
      <c r="Q10" s="3">
        <f>(0.26*(O10-1)+2.76)</f>
        <v>3.54</v>
      </c>
      <c r="R10" s="3"/>
      <c r="V10" s="3"/>
      <c r="W10" s="3">
        <v>4</v>
      </c>
      <c r="X10" s="3">
        <f>(-0.55*(Table1_348[[#This Row],[Sample Description]]-1)+28.6)</f>
        <v>26.950000000000003</v>
      </c>
      <c r="Y10" s="3">
        <f>(-0.07*(Table1_348[[#This Row],[Sample Description]]-1)+3.64)</f>
        <v>3.43</v>
      </c>
      <c r="Z10" s="3"/>
      <c r="AD10" s="3"/>
      <c r="AE10" s="3">
        <v>4</v>
      </c>
      <c r="AF10" s="3" t="s">
        <v>24</v>
      </c>
      <c r="AG10" s="3" t="s">
        <v>24</v>
      </c>
      <c r="AH10" s="3"/>
    </row>
    <row r="11" spans="2:34" ht="15.75">
      <c r="F11" s="3"/>
      <c r="G11" s="3">
        <v>5</v>
      </c>
      <c r="H11" s="3">
        <f>0.45*(Table16[[#This Row],[Sample Description]]-1)+21.3</f>
        <v>23.1</v>
      </c>
      <c r="I11" s="3">
        <f>0.06*(Table16[[#This Row],[Sample Description]]-1)+2.71</f>
        <v>2.95</v>
      </c>
      <c r="J11" s="3"/>
      <c r="N11" s="3"/>
      <c r="O11" s="3">
        <v>5</v>
      </c>
      <c r="P11" s="3">
        <f t="shared" ref="P11:P26" si="0">(2*(O11-1)+21.7)</f>
        <v>29.7</v>
      </c>
      <c r="Q11" s="3">
        <f t="shared" ref="Q11:Q26" si="1">(0.26*(O11-1)+2.76)</f>
        <v>3.8</v>
      </c>
      <c r="R11" s="3"/>
      <c r="V11" s="3"/>
      <c r="W11" s="3">
        <v>5</v>
      </c>
      <c r="X11" s="3">
        <f>(-0.55*(Table1_348[[#This Row],[Sample Description]]-1)+28.6)</f>
        <v>26.400000000000002</v>
      </c>
      <c r="Y11" s="3">
        <f>(-0.07*(Table1_348[[#This Row],[Sample Description]]-1)+3.64)</f>
        <v>3.3600000000000003</v>
      </c>
      <c r="Z11" s="3"/>
      <c r="AD11" s="3"/>
      <c r="AE11" s="3">
        <v>5</v>
      </c>
      <c r="AF11" s="3" t="s">
        <v>24</v>
      </c>
      <c r="AG11" s="3" t="s">
        <v>24</v>
      </c>
      <c r="AH11" s="3"/>
    </row>
    <row r="12" spans="2:34" ht="15.75">
      <c r="F12" s="3"/>
      <c r="G12" s="3">
        <v>6</v>
      </c>
      <c r="H12" s="3">
        <f>0.45*(Table16[[#This Row],[Sample Description]]-1)+21.3</f>
        <v>23.55</v>
      </c>
      <c r="I12" s="3">
        <f>0.06*(Table16[[#This Row],[Sample Description]]-1)+2.71</f>
        <v>3.01</v>
      </c>
      <c r="J12" s="3"/>
      <c r="N12" s="3"/>
      <c r="O12" s="3">
        <v>6</v>
      </c>
      <c r="P12" s="3">
        <f t="shared" si="0"/>
        <v>31.7</v>
      </c>
      <c r="Q12" s="3">
        <f t="shared" si="1"/>
        <v>4.0599999999999996</v>
      </c>
      <c r="R12" s="3"/>
      <c r="V12" s="3"/>
      <c r="W12" s="3">
        <v>6</v>
      </c>
      <c r="X12" s="3">
        <f>(-0.55*(Table1_348[[#This Row],[Sample Description]]-1)+28.6)</f>
        <v>25.85</v>
      </c>
      <c r="Y12" s="3">
        <f>(-0.07*(Table1_348[[#This Row],[Sample Description]]-1)+3.64)</f>
        <v>3.29</v>
      </c>
      <c r="Z12" s="3"/>
      <c r="AD12" s="3"/>
      <c r="AE12" s="3">
        <v>6</v>
      </c>
      <c r="AF12" s="3" t="s">
        <v>24</v>
      </c>
      <c r="AG12" s="3" t="s">
        <v>24</v>
      </c>
      <c r="AH12" s="3"/>
    </row>
    <row r="13" spans="2:34" ht="15.75">
      <c r="F13" s="3"/>
      <c r="G13" s="3">
        <v>7</v>
      </c>
      <c r="H13" s="3">
        <f>0.45*(Table16[[#This Row],[Sample Description]]-1)+21.3</f>
        <v>24</v>
      </c>
      <c r="I13" s="3">
        <f>0.06*(Table16[[#This Row],[Sample Description]]-1)+2.71</f>
        <v>3.07</v>
      </c>
      <c r="J13" s="3"/>
      <c r="N13" s="3"/>
      <c r="O13" s="3">
        <v>7</v>
      </c>
      <c r="P13" s="3">
        <f t="shared" si="0"/>
        <v>33.700000000000003</v>
      </c>
      <c r="Q13" s="3">
        <f t="shared" si="1"/>
        <v>4.32</v>
      </c>
      <c r="R13" s="3"/>
      <c r="V13" s="3"/>
      <c r="W13" s="3">
        <v>7</v>
      </c>
      <c r="X13" s="3">
        <f>(-0.55*(Table1_348[[#This Row],[Sample Description]]-1)+28.6)</f>
        <v>25.3</v>
      </c>
      <c r="Y13" s="3">
        <f>(-0.07*(Table1_348[[#This Row],[Sample Description]]-1)+3.64)</f>
        <v>3.22</v>
      </c>
      <c r="Z13" s="3"/>
      <c r="AD13" s="3"/>
      <c r="AE13" s="3">
        <v>7</v>
      </c>
      <c r="AF13" s="3" t="s">
        <v>24</v>
      </c>
      <c r="AG13" s="3" t="s">
        <v>24</v>
      </c>
      <c r="AH13" s="3"/>
    </row>
    <row r="14" spans="2:34" ht="15.75">
      <c r="F14" s="3"/>
      <c r="G14" s="3">
        <v>8</v>
      </c>
      <c r="H14" s="3">
        <f>0.45*(Table16[[#This Row],[Sample Description]]-1)+21.3</f>
        <v>24.45</v>
      </c>
      <c r="I14" s="3">
        <f>0.06*(Table16[[#This Row],[Sample Description]]-1)+2.71</f>
        <v>3.13</v>
      </c>
      <c r="J14" s="3"/>
      <c r="N14" s="3"/>
      <c r="O14" s="3">
        <v>8</v>
      </c>
      <c r="P14" s="3">
        <f t="shared" si="0"/>
        <v>35.700000000000003</v>
      </c>
      <c r="Q14" s="3">
        <f t="shared" si="1"/>
        <v>4.58</v>
      </c>
      <c r="R14" s="3"/>
      <c r="V14" s="3"/>
      <c r="W14" s="3">
        <v>8</v>
      </c>
      <c r="X14" s="3">
        <f>(-0.55*(Table1_348[[#This Row],[Sample Description]]-1)+28.6)</f>
        <v>24.75</v>
      </c>
      <c r="Y14" s="3">
        <f>(-0.07*(Table1_348[[#This Row],[Sample Description]]-1)+3.64)</f>
        <v>3.15</v>
      </c>
      <c r="Z14" s="3"/>
      <c r="AD14" s="3"/>
      <c r="AE14" s="3">
        <v>8</v>
      </c>
      <c r="AF14" s="3" t="s">
        <v>24</v>
      </c>
      <c r="AG14" s="3" t="s">
        <v>24</v>
      </c>
      <c r="AH14" s="3"/>
    </row>
    <row r="15" spans="2:34" ht="15.75">
      <c r="F15" s="3"/>
      <c r="G15" s="3">
        <v>9</v>
      </c>
      <c r="H15" s="3">
        <f>0.45*(Table16[[#This Row],[Sample Description]]-1)+21.3</f>
        <v>24.900000000000002</v>
      </c>
      <c r="I15" s="3">
        <f>0.06*(Table16[[#This Row],[Sample Description]]-1)+2.71</f>
        <v>3.19</v>
      </c>
      <c r="J15" s="3"/>
      <c r="N15" s="3"/>
      <c r="O15" s="3">
        <v>9</v>
      </c>
      <c r="P15" s="3">
        <f t="shared" si="0"/>
        <v>37.700000000000003</v>
      </c>
      <c r="Q15" s="3">
        <f t="shared" si="1"/>
        <v>4.84</v>
      </c>
      <c r="R15" s="3"/>
      <c r="V15" s="3"/>
      <c r="W15" s="3">
        <v>9</v>
      </c>
      <c r="X15" s="3">
        <f>(-0.55*(Table1_348[[#This Row],[Sample Description]]-1)+28.6)</f>
        <v>24.200000000000003</v>
      </c>
      <c r="Y15" s="3">
        <f>(-0.07*(Table1_348[[#This Row],[Sample Description]]-1)+3.64)</f>
        <v>3.08</v>
      </c>
      <c r="Z15" s="3"/>
      <c r="AD15" s="3"/>
      <c r="AE15" s="3">
        <v>9</v>
      </c>
      <c r="AF15" s="3" t="s">
        <v>24</v>
      </c>
      <c r="AG15" s="3" t="s">
        <v>24</v>
      </c>
      <c r="AH15" s="3"/>
    </row>
    <row r="16" spans="2:34" ht="15.75">
      <c r="F16" s="3" t="s">
        <v>10</v>
      </c>
      <c r="G16" s="3">
        <v>10</v>
      </c>
      <c r="H16" s="3">
        <f>0.45*(Table16[[#This Row],[Sample Description]]-1)+21.3</f>
        <v>25.35</v>
      </c>
      <c r="I16" s="3">
        <f>0.06*(Table16[[#This Row],[Sample Description]]-1)+2.71</f>
        <v>3.25</v>
      </c>
      <c r="J16" s="3">
        <f>(SUM(I7:I26)/20)</f>
        <v>3.2604999999999995</v>
      </c>
      <c r="N16" s="3" t="s">
        <v>10</v>
      </c>
      <c r="O16" s="3">
        <v>10</v>
      </c>
      <c r="P16" s="3">
        <f t="shared" si="0"/>
        <v>39.700000000000003</v>
      </c>
      <c r="Q16" s="3">
        <f t="shared" si="1"/>
        <v>5.0999999999999996</v>
      </c>
      <c r="R16" s="3"/>
      <c r="V16" s="3" t="s">
        <v>10</v>
      </c>
      <c r="W16" s="3">
        <v>10</v>
      </c>
      <c r="X16" s="3">
        <f>(-0.55*(Table1_348[[#This Row],[Sample Description]]-1)+28.6)</f>
        <v>23.650000000000002</v>
      </c>
      <c r="Y16" s="3">
        <f>(-0.07*(Table1_348[[#This Row],[Sample Description]]-1)+3.64)</f>
        <v>3.01</v>
      </c>
      <c r="Z16" s="3">
        <f>(SUM(Y7:Y26)/20)</f>
        <v>2.9969999999999999</v>
      </c>
      <c r="AD16" s="3" t="s">
        <v>10</v>
      </c>
      <c r="AE16" s="3">
        <v>10</v>
      </c>
      <c r="AF16" s="3" t="s">
        <v>24</v>
      </c>
      <c r="AG16" s="3" t="s">
        <v>24</v>
      </c>
      <c r="AH16" s="3" t="s">
        <v>24</v>
      </c>
    </row>
    <row r="17" spans="6:34" ht="15.75">
      <c r="F17" s="3"/>
      <c r="G17" s="3">
        <v>11</v>
      </c>
      <c r="H17" s="3">
        <f>0.45*(Table16[[#This Row],[Sample Description]]-1)+21.3</f>
        <v>25.8</v>
      </c>
      <c r="I17" s="3">
        <f>0.06*(Table16[[#This Row],[Sample Description]]-1)+2.71</f>
        <v>3.31</v>
      </c>
      <c r="J17" s="3"/>
      <c r="N17" s="3"/>
      <c r="O17" s="3">
        <v>11</v>
      </c>
      <c r="P17" s="3">
        <f t="shared" si="0"/>
        <v>41.7</v>
      </c>
      <c r="Q17" s="3">
        <f t="shared" si="1"/>
        <v>5.3599999999999994</v>
      </c>
      <c r="R17" s="3"/>
      <c r="V17" s="3"/>
      <c r="W17" s="3">
        <v>11</v>
      </c>
      <c r="X17" s="3">
        <f>(-0.55*(Table1_348[[#This Row],[Sample Description]]-1)+28.6)</f>
        <v>23.1</v>
      </c>
      <c r="Y17" s="3">
        <f>(-0.07*(Table1_348[[#This Row],[Sample Description]]-1)+3.64)</f>
        <v>2.94</v>
      </c>
      <c r="Z17" s="3"/>
      <c r="AD17" s="3"/>
      <c r="AE17" s="3">
        <v>11</v>
      </c>
      <c r="AF17" s="3" t="s">
        <v>24</v>
      </c>
      <c r="AG17" s="3" t="s">
        <v>24</v>
      </c>
      <c r="AH17" s="3"/>
    </row>
    <row r="18" spans="6:34" ht="15.75">
      <c r="F18" s="3"/>
      <c r="G18" s="3">
        <v>12</v>
      </c>
      <c r="H18" s="3">
        <f>0.45*(Table16[[#This Row],[Sample Description]]-1)+21.3</f>
        <v>26.25</v>
      </c>
      <c r="I18" s="3">
        <f>0.06*(Table16[[#This Row],[Sample Description]]-1)+2.71</f>
        <v>3.37</v>
      </c>
      <c r="J18" s="3"/>
      <c r="N18" s="3"/>
      <c r="O18" s="3">
        <v>12</v>
      </c>
      <c r="P18" s="3">
        <f t="shared" si="0"/>
        <v>43.7</v>
      </c>
      <c r="Q18" s="3">
        <f t="shared" si="1"/>
        <v>5.62</v>
      </c>
      <c r="R18" s="3"/>
      <c r="V18" s="3"/>
      <c r="W18" s="3">
        <v>12</v>
      </c>
      <c r="X18" s="3">
        <f>(-0.55*(Table1_348[[#This Row],[Sample Description]]-1)+28.6)</f>
        <v>22.55</v>
      </c>
      <c r="Y18" s="3">
        <f>(-0.07*(Table1_348[[#This Row],[Sample Description]]-1)+3.64)</f>
        <v>2.87</v>
      </c>
      <c r="Z18" s="3"/>
      <c r="AD18" s="3"/>
      <c r="AE18" s="3">
        <v>12</v>
      </c>
      <c r="AF18" s="3" t="s">
        <v>24</v>
      </c>
      <c r="AG18" s="3" t="s">
        <v>24</v>
      </c>
      <c r="AH18" s="3"/>
    </row>
    <row r="19" spans="6:34" ht="15.75">
      <c r="F19" s="3"/>
      <c r="G19" s="3">
        <v>13</v>
      </c>
      <c r="H19" s="3">
        <f>0.45*(Table16[[#This Row],[Sample Description]]-1)+21.3</f>
        <v>26.700000000000003</v>
      </c>
      <c r="I19" s="3">
        <f>0.06*(Table16[[#This Row],[Sample Description]]-1)+2.71</f>
        <v>3.4299999999999997</v>
      </c>
      <c r="J19" s="3"/>
      <c r="N19" s="3"/>
      <c r="O19" s="3">
        <v>13</v>
      </c>
      <c r="P19" s="3">
        <f t="shared" si="0"/>
        <v>45.7</v>
      </c>
      <c r="Q19" s="3">
        <f t="shared" si="1"/>
        <v>5.88</v>
      </c>
      <c r="R19" s="3"/>
      <c r="V19" s="3"/>
      <c r="W19" s="3">
        <v>13</v>
      </c>
      <c r="X19" s="3">
        <f>(-0.55*(Table1_348[[#This Row],[Sample Description]]-1)+28.6)</f>
        <v>22</v>
      </c>
      <c r="Y19" s="3">
        <f>(-0.07*(Table1_348[[#This Row],[Sample Description]]-1)+3.64)</f>
        <v>2.8</v>
      </c>
      <c r="Z19" s="3"/>
      <c r="AD19" s="3"/>
      <c r="AE19" s="3">
        <v>13</v>
      </c>
      <c r="AF19" s="3" t="s">
        <v>24</v>
      </c>
      <c r="AG19" s="3" t="s">
        <v>24</v>
      </c>
      <c r="AH19" s="3"/>
    </row>
    <row r="20" spans="6:34" ht="15.75">
      <c r="F20" s="3"/>
      <c r="G20" s="3">
        <v>14</v>
      </c>
      <c r="H20" s="3">
        <f>0.45*(Table16[[#This Row],[Sample Description]]-1)+21.3</f>
        <v>27.150000000000002</v>
      </c>
      <c r="I20" s="3">
        <f>0.06*(Table16[[#This Row],[Sample Description]]-1)+2.71</f>
        <v>3.49</v>
      </c>
      <c r="J20" s="3"/>
      <c r="N20" s="3"/>
      <c r="O20" s="3">
        <v>14</v>
      </c>
      <c r="P20" s="3">
        <f t="shared" si="0"/>
        <v>47.7</v>
      </c>
      <c r="Q20" s="3">
        <f t="shared" si="1"/>
        <v>6.14</v>
      </c>
      <c r="R20" s="3"/>
      <c r="V20" s="3"/>
      <c r="W20" s="3">
        <v>14</v>
      </c>
      <c r="X20" s="3">
        <f>(-0.55*(Table1_348[[#This Row],[Sample Description]]-1)+28.6)</f>
        <v>21.450000000000003</v>
      </c>
      <c r="Y20" s="3">
        <f>(-0.07*(Table1_348[[#This Row],[Sample Description]]-1)+3.64)</f>
        <v>2.73</v>
      </c>
      <c r="Z20" s="3"/>
      <c r="AD20" s="3"/>
      <c r="AE20" s="3">
        <v>14</v>
      </c>
      <c r="AF20" s="3" t="s">
        <v>24</v>
      </c>
      <c r="AG20" s="3" t="s">
        <v>24</v>
      </c>
      <c r="AH20" s="3"/>
    </row>
    <row r="21" spans="6:34" ht="15.75">
      <c r="F21" s="3"/>
      <c r="G21" s="3">
        <v>15</v>
      </c>
      <c r="H21" s="3">
        <f>0.45*(Table16[[#This Row],[Sample Description]]-1)+21.3</f>
        <v>27.6</v>
      </c>
      <c r="I21" s="3">
        <f>0.06*(Table16[[#This Row],[Sample Description]]-1)+2.71</f>
        <v>3.55</v>
      </c>
      <c r="J21" s="3"/>
      <c r="N21" s="3"/>
      <c r="O21" s="3">
        <v>15</v>
      </c>
      <c r="P21" s="3">
        <f t="shared" si="0"/>
        <v>49.7</v>
      </c>
      <c r="Q21" s="3">
        <f t="shared" si="1"/>
        <v>6.4</v>
      </c>
      <c r="R21" s="3"/>
      <c r="V21" s="3"/>
      <c r="W21" s="3">
        <v>15</v>
      </c>
      <c r="X21" s="3">
        <f>(-0.55*(Table1_348[[#This Row],[Sample Description]]-1)+28.6)</f>
        <v>20.9</v>
      </c>
      <c r="Y21" s="3">
        <f>(-0.07*(Table1_348[[#This Row],[Sample Description]]-1)+3.64)</f>
        <v>2.66</v>
      </c>
      <c r="Z21" s="3"/>
      <c r="AD21" s="3"/>
      <c r="AE21" s="3">
        <v>15</v>
      </c>
      <c r="AF21" s="3" t="s">
        <v>24</v>
      </c>
      <c r="AG21" s="3" t="s">
        <v>24</v>
      </c>
      <c r="AH21" s="3"/>
    </row>
    <row r="22" spans="6:34" ht="15.75">
      <c r="F22" s="3"/>
      <c r="G22" s="3">
        <v>16</v>
      </c>
      <c r="H22" s="3">
        <f>0.45*(Table16[[#This Row],[Sample Description]]-1)+21.3</f>
        <v>28.05</v>
      </c>
      <c r="I22" s="3">
        <f>0.06*(Table16[[#This Row],[Sample Description]]-1)+2.71</f>
        <v>3.61</v>
      </c>
      <c r="J22" s="3"/>
      <c r="N22" s="3"/>
      <c r="O22" s="3">
        <v>16</v>
      </c>
      <c r="P22" s="3">
        <f t="shared" si="0"/>
        <v>51.7</v>
      </c>
      <c r="Q22" s="3">
        <f t="shared" si="1"/>
        <v>6.66</v>
      </c>
      <c r="R22" s="3"/>
      <c r="V22" s="3"/>
      <c r="W22" s="3">
        <v>16</v>
      </c>
      <c r="X22" s="3">
        <f>(-0.55*(Table1_348[[#This Row],[Sample Description]]-1)+28.6)</f>
        <v>20.350000000000001</v>
      </c>
      <c r="Y22" s="3">
        <f>(-0.07*(Table1_348[[#This Row],[Sample Description]]-1)+3.64)</f>
        <v>2.59</v>
      </c>
      <c r="Z22" s="3"/>
      <c r="AD22" s="3"/>
      <c r="AE22" s="3">
        <v>16</v>
      </c>
      <c r="AF22" s="3" t="s">
        <v>24</v>
      </c>
      <c r="AG22" s="3" t="s">
        <v>24</v>
      </c>
      <c r="AH22" s="3"/>
    </row>
    <row r="23" spans="6:34" ht="15.75">
      <c r="F23" s="3"/>
      <c r="G23" s="3">
        <v>17</v>
      </c>
      <c r="H23" s="3">
        <f>0.45*(Table16[[#This Row],[Sample Description]]-1)+21.3</f>
        <v>28.5</v>
      </c>
      <c r="I23" s="3">
        <f>0.06*(Table16[[#This Row],[Sample Description]]-1)+2.71</f>
        <v>3.67</v>
      </c>
      <c r="J23" s="3"/>
      <c r="N23" s="3"/>
      <c r="O23" s="3">
        <v>17</v>
      </c>
      <c r="P23" s="3">
        <f t="shared" si="0"/>
        <v>53.7</v>
      </c>
      <c r="Q23" s="3">
        <f t="shared" si="1"/>
        <v>6.92</v>
      </c>
      <c r="R23" s="3"/>
      <c r="V23" s="3"/>
      <c r="W23" s="3">
        <v>17</v>
      </c>
      <c r="X23" s="3">
        <f>(-0.55*(Table1_348[[#This Row],[Sample Description]]-1)+28.6)</f>
        <v>19.8</v>
      </c>
      <c r="Y23" s="3">
        <f>(-0.07*(Table1_348[[#This Row],[Sample Description]]-1)+3.64)</f>
        <v>2.52</v>
      </c>
      <c r="Z23" s="3"/>
      <c r="AD23" s="3"/>
      <c r="AE23" s="3">
        <v>17</v>
      </c>
      <c r="AF23" s="3" t="s">
        <v>24</v>
      </c>
      <c r="AG23" s="3" t="s">
        <v>24</v>
      </c>
      <c r="AH23" s="3"/>
    </row>
    <row r="24" spans="6:34" ht="15.75">
      <c r="F24" s="3"/>
      <c r="G24" s="3">
        <v>18</v>
      </c>
      <c r="H24" s="3">
        <f>0.45*(Table16[[#This Row],[Sample Description]]-1)+21.3</f>
        <v>28.950000000000003</v>
      </c>
      <c r="I24" s="3">
        <f>0.06*(Table16[[#This Row],[Sample Description]]-1)+2.71</f>
        <v>3.73</v>
      </c>
      <c r="J24" s="3"/>
      <c r="N24" s="3"/>
      <c r="O24" s="3">
        <v>18</v>
      </c>
      <c r="P24" s="3">
        <f t="shared" si="0"/>
        <v>55.7</v>
      </c>
      <c r="Q24" s="3">
        <f t="shared" si="1"/>
        <v>7.18</v>
      </c>
      <c r="R24" s="3"/>
      <c r="V24" s="3"/>
      <c r="W24" s="3">
        <v>18</v>
      </c>
      <c r="X24" s="3">
        <f>(-0.55*(Table1_348[[#This Row],[Sample Description]]-1)+28.6)</f>
        <v>19.25</v>
      </c>
      <c r="Y24" s="3">
        <f>(-0.07*(Table1_348[[#This Row],[Sample Description]]-1)+3.64)</f>
        <v>2.4500000000000002</v>
      </c>
      <c r="Z24" s="3"/>
      <c r="AD24" s="3"/>
      <c r="AE24" s="3">
        <v>18</v>
      </c>
      <c r="AF24" s="3" t="s">
        <v>24</v>
      </c>
      <c r="AG24" s="3" t="s">
        <v>24</v>
      </c>
      <c r="AH24" s="3"/>
    </row>
    <row r="25" spans="6:34" ht="15.75">
      <c r="F25" s="3"/>
      <c r="G25" s="3">
        <v>19</v>
      </c>
      <c r="H25" s="3">
        <f>0.45*(Table16[[#This Row],[Sample Description]]-1)+21.3</f>
        <v>29.4</v>
      </c>
      <c r="I25" s="3">
        <f>0.06*(Table16[[#This Row],[Sample Description]]-1)+2.71</f>
        <v>3.79</v>
      </c>
      <c r="J25" s="3"/>
      <c r="N25" s="3"/>
      <c r="O25" s="3">
        <v>19</v>
      </c>
      <c r="P25" s="3">
        <f t="shared" si="0"/>
        <v>57.7</v>
      </c>
      <c r="Q25" s="3">
        <f t="shared" si="1"/>
        <v>7.4399999999999995</v>
      </c>
      <c r="R25" s="3"/>
      <c r="V25" s="3"/>
      <c r="W25" s="3">
        <v>19</v>
      </c>
      <c r="X25" s="3">
        <f>(-0.55*(Table1_348[[#This Row],[Sample Description]]-1)+28.6)</f>
        <v>18.700000000000003</v>
      </c>
      <c r="Y25" s="3">
        <f>(-0.07*(Table1_348[[#This Row],[Sample Description]]-1)+3.64)</f>
        <v>2.38</v>
      </c>
      <c r="Z25" s="3"/>
      <c r="AD25" s="3"/>
      <c r="AE25" s="3">
        <v>19</v>
      </c>
      <c r="AF25" s="3" t="s">
        <v>24</v>
      </c>
      <c r="AG25" s="3" t="s">
        <v>24</v>
      </c>
      <c r="AH25" s="3"/>
    </row>
    <row r="26" spans="6:34" ht="15.75">
      <c r="F26" s="3"/>
      <c r="G26" s="3">
        <v>20</v>
      </c>
      <c r="H26" s="3">
        <f>0.45*(Table16[[#This Row],[Sample Description]]-1)+21.3</f>
        <v>29.85</v>
      </c>
      <c r="I26" s="3">
        <f>0.06*(Table16[[#This Row],[Sample Description]]-1)+2.71</f>
        <v>3.8499999999999996</v>
      </c>
      <c r="J26" s="3"/>
      <c r="N26" s="3"/>
      <c r="O26" s="3">
        <v>20</v>
      </c>
      <c r="P26" s="3">
        <f t="shared" si="0"/>
        <v>59.7</v>
      </c>
      <c r="Q26" s="3">
        <f t="shared" si="1"/>
        <v>7.7</v>
      </c>
      <c r="R26" s="3"/>
      <c r="V26" s="3"/>
      <c r="W26" s="3">
        <v>20</v>
      </c>
      <c r="X26" s="3">
        <f>(-0.55*(Table1_348[[#This Row],[Sample Description]]-1)+28.6)</f>
        <v>18.149999999999999</v>
      </c>
      <c r="Y26" s="3">
        <f>(-0.07*(Table1_348[[#This Row],[Sample Description]]-1)+3.64)</f>
        <v>2.31</v>
      </c>
      <c r="Z26" s="3"/>
      <c r="AD26" s="3"/>
      <c r="AE26" s="3">
        <v>20</v>
      </c>
      <c r="AF26" s="3" t="s">
        <v>24</v>
      </c>
      <c r="AG26" s="3" t="s">
        <v>24</v>
      </c>
      <c r="AH26" s="3"/>
    </row>
    <row r="27" spans="6:34" ht="15.75">
      <c r="F27" s="3"/>
      <c r="G27" s="3">
        <v>1</v>
      </c>
      <c r="H27" s="3">
        <v>24.5</v>
      </c>
      <c r="I27" s="3">
        <v>3.12</v>
      </c>
      <c r="J27" s="3"/>
      <c r="N27" s="3"/>
      <c r="O27" s="5">
        <v>1</v>
      </c>
      <c r="P27" s="5">
        <v>23.5</v>
      </c>
      <c r="Q27" s="5">
        <v>2.99</v>
      </c>
      <c r="R27" s="5"/>
      <c r="V27" s="3"/>
      <c r="W27" s="3">
        <v>1</v>
      </c>
      <c r="X27" s="5">
        <v>28.9</v>
      </c>
      <c r="Y27" s="5">
        <v>3.68</v>
      </c>
      <c r="Z27" s="3"/>
      <c r="AD27" s="3"/>
      <c r="AE27" s="3">
        <v>1</v>
      </c>
      <c r="AF27" s="3" t="s">
        <v>24</v>
      </c>
      <c r="AG27" s="3" t="s">
        <v>24</v>
      </c>
      <c r="AH27" s="3"/>
    </row>
    <row r="28" spans="6:34" ht="15.75">
      <c r="F28" s="3"/>
      <c r="G28" s="3">
        <v>2</v>
      </c>
      <c r="H28" s="3">
        <v>20.100000000000001</v>
      </c>
      <c r="I28" s="3">
        <v>2.56</v>
      </c>
      <c r="J28" s="3"/>
      <c r="N28" s="3"/>
      <c r="O28" s="5">
        <v>2</v>
      </c>
      <c r="P28" s="5">
        <v>20.7</v>
      </c>
      <c r="Q28" s="5">
        <v>2.63</v>
      </c>
      <c r="R28" s="5"/>
      <c r="V28" s="3"/>
      <c r="W28" s="3">
        <v>2</v>
      </c>
      <c r="X28" s="5">
        <v>25.4</v>
      </c>
      <c r="Y28" s="5">
        <v>3.23</v>
      </c>
      <c r="Z28" s="3"/>
      <c r="AD28" s="3"/>
      <c r="AE28" s="3">
        <v>2</v>
      </c>
      <c r="AF28" s="3" t="s">
        <v>24</v>
      </c>
      <c r="AG28" s="3" t="s">
        <v>24</v>
      </c>
      <c r="AH28" s="3"/>
    </row>
    <row r="29" spans="6:34" ht="15.75">
      <c r="F29" s="3"/>
      <c r="G29" s="3">
        <v>3</v>
      </c>
      <c r="H29" s="3">
        <v>23.4</v>
      </c>
      <c r="I29" s="3">
        <v>2.98</v>
      </c>
      <c r="J29" s="3"/>
      <c r="N29" s="3"/>
      <c r="O29" s="5">
        <v>3</v>
      </c>
      <c r="P29" s="5">
        <v>22.5</v>
      </c>
      <c r="Q29" s="5">
        <v>2.86</v>
      </c>
      <c r="R29" s="5"/>
      <c r="V29" s="3"/>
      <c r="W29" s="3">
        <v>3</v>
      </c>
      <c r="X29" s="5">
        <v>26.5</v>
      </c>
      <c r="Y29" s="5">
        <v>3.37</v>
      </c>
      <c r="Z29" s="3"/>
      <c r="AD29" s="3"/>
      <c r="AE29" s="3">
        <v>3</v>
      </c>
      <c r="AF29" s="3" t="s">
        <v>24</v>
      </c>
      <c r="AG29" s="3" t="s">
        <v>24</v>
      </c>
      <c r="AH29" s="3"/>
    </row>
    <row r="30" spans="6:34" ht="15.75">
      <c r="F30" s="3"/>
      <c r="G30" s="3">
        <v>4</v>
      </c>
      <c r="H30" s="3">
        <f>-0.55*(Table16[[#This Row],[Sample Description]]-1)+24.5</f>
        <v>22.85</v>
      </c>
      <c r="I30" s="3">
        <f>-0.07*(Table16[[#This Row],[Sample Description]]-1)+3.12</f>
        <v>2.91</v>
      </c>
      <c r="J30" s="3"/>
      <c r="N30" s="3"/>
      <c r="O30" s="3">
        <v>4</v>
      </c>
      <c r="P30" s="3">
        <f>(-0.5*(Table1_37[[#This Row],[Sample Description]]-1)+23.5)</f>
        <v>22</v>
      </c>
      <c r="Q30" s="3">
        <f>(-0.065*(Table1_37[[#This Row],[Sample Description]]-1)+2.99)</f>
        <v>2.7950000000000004</v>
      </c>
      <c r="R30" s="3"/>
      <c r="V30" s="3"/>
      <c r="W30" s="3">
        <v>4</v>
      </c>
      <c r="X30" s="3">
        <f>(1.1*(Table1_37[[#This Row],[Sample Description]]-2)+25.4)</f>
        <v>27.599999999999998</v>
      </c>
      <c r="Y30" s="3">
        <f>(0.14*(Table1_37[[#This Row],[Sample Description]]-2)+3.23)</f>
        <v>3.51</v>
      </c>
      <c r="Z30" s="3"/>
      <c r="AD30" s="3"/>
      <c r="AE30" s="3">
        <v>4</v>
      </c>
      <c r="AF30" s="3" t="s">
        <v>24</v>
      </c>
      <c r="AG30" s="3" t="s">
        <v>24</v>
      </c>
      <c r="AH30" s="3"/>
    </row>
    <row r="31" spans="6:34" ht="15.75">
      <c r="F31" s="3"/>
      <c r="G31" s="3">
        <v>5</v>
      </c>
      <c r="H31" s="3">
        <f>-0.55*(Table16[[#This Row],[Sample Description]]-1)+24.5</f>
        <v>22.3</v>
      </c>
      <c r="I31" s="3">
        <f>-0.07*(Table16[[#This Row],[Sample Description]]-1)+3.12</f>
        <v>2.84</v>
      </c>
      <c r="J31" s="3"/>
      <c r="N31" s="3"/>
      <c r="O31" s="3">
        <v>5</v>
      </c>
      <c r="P31" s="3">
        <f>(-0.5*(Table1_37[[#This Row],[Sample Description]]-1)+23.5)</f>
        <v>21.5</v>
      </c>
      <c r="Q31" s="3">
        <f>(-0.065*(Table1_37[[#This Row],[Sample Description]]-1)+2.99)</f>
        <v>2.7300000000000004</v>
      </c>
      <c r="R31" s="3"/>
      <c r="V31" s="3"/>
      <c r="W31" s="3">
        <v>5</v>
      </c>
      <c r="X31" s="3">
        <f>(1.1*(Table1_37[[#This Row],[Sample Description]]-2)+25.4)</f>
        <v>28.7</v>
      </c>
      <c r="Y31" s="3">
        <f>(0.14*(Table1_37[[#This Row],[Sample Description]]-2)+3.23)</f>
        <v>3.65</v>
      </c>
      <c r="Z31" s="3"/>
      <c r="AD31" s="3"/>
      <c r="AE31" s="3">
        <v>5</v>
      </c>
      <c r="AF31" s="3" t="s">
        <v>24</v>
      </c>
      <c r="AG31" s="3" t="s">
        <v>24</v>
      </c>
      <c r="AH31" s="3"/>
    </row>
    <row r="32" spans="6:34" ht="15.75">
      <c r="F32" s="3"/>
      <c r="G32" s="3">
        <v>6</v>
      </c>
      <c r="H32" s="3">
        <f>-0.55*(Table16[[#This Row],[Sample Description]]-1)+24.5</f>
        <v>21.75</v>
      </c>
      <c r="I32" s="3">
        <f>-0.07*(Table16[[#This Row],[Sample Description]]-1)+3.12</f>
        <v>2.77</v>
      </c>
      <c r="J32" s="3"/>
      <c r="N32" s="3"/>
      <c r="O32" s="3">
        <v>6</v>
      </c>
      <c r="P32" s="3">
        <f>(-0.5*(Table1_37[[#This Row],[Sample Description]]-1)+23.5)</f>
        <v>21</v>
      </c>
      <c r="Q32" s="3">
        <f>(-0.065*(Table1_37[[#This Row],[Sample Description]]-1)+2.99)</f>
        <v>2.665</v>
      </c>
      <c r="R32" s="3"/>
      <c r="V32" s="3"/>
      <c r="W32" s="3">
        <v>6</v>
      </c>
      <c r="X32" s="3">
        <f>(1.1*(Table1_37[[#This Row],[Sample Description]]-2)+25.4)</f>
        <v>29.799999999999997</v>
      </c>
      <c r="Y32" s="3">
        <f>(0.14*(Table1_37[[#This Row],[Sample Description]]-2)+3.23)</f>
        <v>3.79</v>
      </c>
      <c r="Z32" s="3"/>
      <c r="AD32" s="3"/>
      <c r="AE32" s="3">
        <v>6</v>
      </c>
      <c r="AF32" s="3" t="s">
        <v>24</v>
      </c>
      <c r="AG32" s="3" t="s">
        <v>24</v>
      </c>
      <c r="AH32" s="3"/>
    </row>
    <row r="33" spans="6:34" ht="15.75">
      <c r="G33" s="10">
        <v>7</v>
      </c>
      <c r="H33" s="3">
        <f>-0.55*(Table16[[#This Row],[Sample Description]]-1)+24.5</f>
        <v>21.2</v>
      </c>
      <c r="I33" s="3">
        <f>-0.07*(Table16[[#This Row],[Sample Description]]-1)+3.12</f>
        <v>2.7</v>
      </c>
      <c r="O33" s="10">
        <v>7</v>
      </c>
      <c r="P33" s="3">
        <f>(-0.5*(Table1_37[[#This Row],[Sample Description]]-1)+23.5)</f>
        <v>20.5</v>
      </c>
      <c r="Q33" s="3">
        <f>(-0.065*(Table1_37[[#This Row],[Sample Description]]-1)+2.99)</f>
        <v>2.6</v>
      </c>
      <c r="W33" s="10">
        <v>7</v>
      </c>
      <c r="X33" s="3">
        <f>(1.1*(Table1_37[[#This Row],[Sample Description]]-2)+25.4)</f>
        <v>30.9</v>
      </c>
      <c r="Y33" s="3">
        <f>(0.14*(Table1_37[[#This Row],[Sample Description]]-2)+3.23)</f>
        <v>3.93</v>
      </c>
      <c r="AE33" s="10">
        <v>7</v>
      </c>
      <c r="AF33" s="3" t="s">
        <v>24</v>
      </c>
      <c r="AG33" s="3" t="s">
        <v>24</v>
      </c>
    </row>
    <row r="34" spans="6:34" ht="15.75">
      <c r="G34" s="10">
        <v>8</v>
      </c>
      <c r="H34" s="3">
        <f>-0.55*(Table16[[#This Row],[Sample Description]]-1)+24.5</f>
        <v>20.65</v>
      </c>
      <c r="I34" s="3">
        <f>-0.07*(Table16[[#This Row],[Sample Description]]-1)+3.12</f>
        <v>2.63</v>
      </c>
      <c r="O34" s="10">
        <v>8</v>
      </c>
      <c r="P34" s="3">
        <f>(-0.5*(Table1_37[[#This Row],[Sample Description]]-1)+23.5)</f>
        <v>20</v>
      </c>
      <c r="Q34" s="3">
        <f>(-0.065*(Table1_37[[#This Row],[Sample Description]]-1)+2.99)</f>
        <v>2.5350000000000001</v>
      </c>
      <c r="W34" s="10">
        <v>8</v>
      </c>
      <c r="X34" s="3">
        <f>(1.1*(Table1_37[[#This Row],[Sample Description]]-2)+25.4)</f>
        <v>32</v>
      </c>
      <c r="Y34" s="3">
        <f>(0.14*(Table1_37[[#This Row],[Sample Description]]-2)+3.23)</f>
        <v>4.07</v>
      </c>
      <c r="AE34" s="10">
        <v>8</v>
      </c>
      <c r="AF34" s="3" t="s">
        <v>24</v>
      </c>
      <c r="AG34" s="3" t="s">
        <v>24</v>
      </c>
    </row>
    <row r="35" spans="6:34" ht="15.75">
      <c r="G35" s="10">
        <v>9</v>
      </c>
      <c r="H35" s="3">
        <f>-0.55*(Table16[[#This Row],[Sample Description]]-1)+24.5</f>
        <v>20.100000000000001</v>
      </c>
      <c r="I35" s="3">
        <f>-0.07*(Table16[[#This Row],[Sample Description]]-1)+3.12</f>
        <v>2.56</v>
      </c>
      <c r="O35" s="10">
        <v>9</v>
      </c>
      <c r="P35" s="3">
        <f>(-0.5*(Table1_37[[#This Row],[Sample Description]]-1)+23.5)</f>
        <v>19.5</v>
      </c>
      <c r="Q35" s="3">
        <f>(-0.065*(Table1_37[[#This Row],[Sample Description]]-1)+2.99)</f>
        <v>2.4700000000000002</v>
      </c>
      <c r="W35" s="10">
        <v>9</v>
      </c>
      <c r="X35" s="3">
        <f>(1.1*(Table1_37[[#This Row],[Sample Description]]-2)+25.4)</f>
        <v>33.1</v>
      </c>
      <c r="Y35" s="3">
        <f>(0.14*(Table1_37[[#This Row],[Sample Description]]-2)+3.23)</f>
        <v>4.21</v>
      </c>
      <c r="AE35" s="10">
        <v>9</v>
      </c>
      <c r="AF35" s="3" t="s">
        <v>24</v>
      </c>
      <c r="AG35" s="3" t="s">
        <v>24</v>
      </c>
    </row>
    <row r="36" spans="6:34" ht="15.75">
      <c r="F36" t="s">
        <v>11</v>
      </c>
      <c r="G36" s="10">
        <v>10</v>
      </c>
      <c r="H36" s="3">
        <f>-0.55*(Table16[[#This Row],[Sample Description]]-1)+24.5</f>
        <v>19.55</v>
      </c>
      <c r="I36" s="3">
        <f>-0.07*(Table16[[#This Row],[Sample Description]]-1)+3.12</f>
        <v>2.4900000000000002</v>
      </c>
      <c r="J36">
        <f>(I27+I28+I29+I30+I31+I32+I33+I34+I35+Table16[[#This Row],[Strength(N/mm2)]]+I37+I38+I39+I40+I41+I42+I43+I44+I45+I46)/20</f>
        <v>2.4304999999999999</v>
      </c>
      <c r="N36" t="s">
        <v>11</v>
      </c>
      <c r="O36" s="10">
        <v>10</v>
      </c>
      <c r="P36" s="3">
        <f>(-0.5*(Table1_37[[#This Row],[Sample Description]]-1)+23.5)</f>
        <v>19</v>
      </c>
      <c r="Q36" s="3">
        <f>(-0.065*(Table1_37[[#This Row],[Sample Description]]-1)+2.99)</f>
        <v>2.4050000000000002</v>
      </c>
      <c r="R36">
        <f>(SUM(Q27:Q46)/20)</f>
        <v>2.3577500000000002</v>
      </c>
      <c r="V36" t="s">
        <v>11</v>
      </c>
      <c r="W36" s="10">
        <v>10</v>
      </c>
      <c r="X36" s="3">
        <f>(1.1*(Table1_37[[#This Row],[Sample Description]]-2)+25.4)</f>
        <v>34.200000000000003</v>
      </c>
      <c r="Y36" s="3">
        <f>(0.14*(Table1_37[[#This Row],[Sample Description]]-2)+3.23)</f>
        <v>4.3499999999999996</v>
      </c>
      <c r="Z36">
        <f>(SUM(Y27:Y46)/20)</f>
        <v>4.4494999999999996</v>
      </c>
      <c r="AD36" t="s">
        <v>11</v>
      </c>
      <c r="AE36" s="10">
        <v>10</v>
      </c>
      <c r="AF36" s="3" t="s">
        <v>24</v>
      </c>
      <c r="AG36" s="3" t="s">
        <v>24</v>
      </c>
      <c r="AH36" s="11" t="s">
        <v>24</v>
      </c>
    </row>
    <row r="37" spans="6:34" ht="15.75">
      <c r="G37" s="10">
        <v>11</v>
      </c>
      <c r="H37" s="3">
        <f>-0.55*(Table16[[#This Row],[Sample Description]]-1)+24.5</f>
        <v>19</v>
      </c>
      <c r="I37" s="3">
        <f>-0.07*(Table16[[#This Row],[Sample Description]]-1)+3.12</f>
        <v>2.42</v>
      </c>
      <c r="O37" s="10">
        <v>11</v>
      </c>
      <c r="P37" s="3">
        <f>(-0.5*(Table1_37[[#This Row],[Sample Description]]-1)+23.5)</f>
        <v>18.5</v>
      </c>
      <c r="Q37" s="3">
        <f>(-0.065*(Table1_37[[#This Row],[Sample Description]]-1)+2.99)</f>
        <v>2.3400000000000003</v>
      </c>
      <c r="W37" s="10">
        <v>11</v>
      </c>
      <c r="X37" s="3">
        <f>(1.1*(Table1_37[[#This Row],[Sample Description]]-2)+25.4)</f>
        <v>35.299999999999997</v>
      </c>
      <c r="Y37" s="3">
        <f>(0.14*(Table1_37[[#This Row],[Sample Description]]-2)+3.23)</f>
        <v>4.49</v>
      </c>
      <c r="AE37" s="10">
        <v>11</v>
      </c>
      <c r="AF37" s="3" t="s">
        <v>24</v>
      </c>
      <c r="AG37" s="3" t="s">
        <v>24</v>
      </c>
    </row>
    <row r="38" spans="6:34" ht="15.75">
      <c r="G38" s="10">
        <v>12</v>
      </c>
      <c r="H38" s="3">
        <f>-0.55*(Table16[[#This Row],[Sample Description]]-1)+24.5</f>
        <v>18.45</v>
      </c>
      <c r="I38" s="3">
        <f>-0.07*(Table16[[#This Row],[Sample Description]]-1)+3.12</f>
        <v>2.35</v>
      </c>
      <c r="O38" s="10">
        <v>12</v>
      </c>
      <c r="P38" s="3">
        <f>(-0.5*(Table1_37[[#This Row],[Sample Description]]-1)+23.5)</f>
        <v>18</v>
      </c>
      <c r="Q38" s="3">
        <f>(-0.065*(Table1_37[[#This Row],[Sample Description]]-1)+2.99)</f>
        <v>2.2750000000000004</v>
      </c>
      <c r="W38" s="10">
        <v>12</v>
      </c>
      <c r="X38" s="3">
        <f>(1.1*(Table1_37[[#This Row],[Sample Description]]-2)+25.4)</f>
        <v>36.4</v>
      </c>
      <c r="Y38" s="3">
        <f>(0.14*(Table1_37[[#This Row],[Sample Description]]-2)+3.23)</f>
        <v>4.63</v>
      </c>
      <c r="AE38" s="10">
        <v>12</v>
      </c>
      <c r="AF38" s="3" t="s">
        <v>24</v>
      </c>
      <c r="AG38" s="3" t="s">
        <v>24</v>
      </c>
    </row>
    <row r="39" spans="6:34" ht="15.75">
      <c r="G39" s="10">
        <v>13</v>
      </c>
      <c r="H39" s="3">
        <f>-0.55*(Table16[[#This Row],[Sample Description]]-1)+24.5</f>
        <v>17.899999999999999</v>
      </c>
      <c r="I39" s="3">
        <f>-0.07*(Table16[[#This Row],[Sample Description]]-1)+3.12</f>
        <v>2.2800000000000002</v>
      </c>
      <c r="O39" s="10">
        <v>13</v>
      </c>
      <c r="P39" s="3">
        <f>(-0.5*(Table1_37[[#This Row],[Sample Description]]-1)+23.5)</f>
        <v>17.5</v>
      </c>
      <c r="Q39" s="3">
        <f>(-0.065*(Table1_37[[#This Row],[Sample Description]]-1)+2.99)</f>
        <v>2.21</v>
      </c>
      <c r="W39" s="10">
        <v>13</v>
      </c>
      <c r="X39" s="3">
        <f>(1.1*(Table1_37[[#This Row],[Sample Description]]-2)+25.4)</f>
        <v>37.5</v>
      </c>
      <c r="Y39" s="3">
        <f>(0.14*(Table1_37[[#This Row],[Sample Description]]-2)+3.23)</f>
        <v>4.7699999999999996</v>
      </c>
      <c r="AE39" s="10">
        <v>13</v>
      </c>
      <c r="AF39" s="3" t="s">
        <v>24</v>
      </c>
      <c r="AG39" s="3" t="s">
        <v>24</v>
      </c>
    </row>
    <row r="40" spans="6:34" ht="15.75">
      <c r="G40" s="10">
        <v>14</v>
      </c>
      <c r="H40" s="3">
        <f>-0.55*(Table16[[#This Row],[Sample Description]]-1)+24.5</f>
        <v>17.350000000000001</v>
      </c>
      <c r="I40" s="3">
        <f>-0.07*(Table16[[#This Row],[Sample Description]]-1)+3.12</f>
        <v>2.21</v>
      </c>
      <c r="O40" s="10">
        <v>14</v>
      </c>
      <c r="P40" s="3">
        <f>(-0.5*(Table1_37[[#This Row],[Sample Description]]-1)+23.5)</f>
        <v>17</v>
      </c>
      <c r="Q40" s="3">
        <f>(-0.065*(Table1_37[[#This Row],[Sample Description]]-1)+2.99)</f>
        <v>2.1450000000000005</v>
      </c>
      <c r="W40" s="10">
        <v>14</v>
      </c>
      <c r="X40" s="3">
        <f>(1.1*(Table1_37[[#This Row],[Sample Description]]-2)+25.4)</f>
        <v>38.6</v>
      </c>
      <c r="Y40" s="3">
        <f>(0.14*(Table1_37[[#This Row],[Sample Description]]-2)+3.23)</f>
        <v>4.91</v>
      </c>
      <c r="AE40" s="10">
        <v>14</v>
      </c>
      <c r="AF40" s="3" t="s">
        <v>24</v>
      </c>
      <c r="AG40" s="3" t="s">
        <v>24</v>
      </c>
    </row>
    <row r="41" spans="6:34" ht="15.75">
      <c r="G41" s="10">
        <v>15</v>
      </c>
      <c r="H41" s="3">
        <f>-0.55*(Table16[[#This Row],[Sample Description]]-1)+24.5</f>
        <v>16.799999999999997</v>
      </c>
      <c r="I41" s="3">
        <f>-0.07*(Table16[[#This Row],[Sample Description]]-1)+3.12</f>
        <v>2.14</v>
      </c>
      <c r="O41" s="10">
        <v>15</v>
      </c>
      <c r="P41" s="3">
        <f>(-0.5*(Table1_37[[#This Row],[Sample Description]]-1)+23.5)</f>
        <v>16.5</v>
      </c>
      <c r="Q41" s="3">
        <f>(-0.065*(Table1_37[[#This Row],[Sample Description]]-1)+2.99)</f>
        <v>2.08</v>
      </c>
      <c r="W41" s="10">
        <v>15</v>
      </c>
      <c r="X41" s="3">
        <f>(1.1*(Table1_37[[#This Row],[Sample Description]]-2)+25.4)</f>
        <v>39.700000000000003</v>
      </c>
      <c r="Y41" s="3">
        <f>(0.14*(Table1_37[[#This Row],[Sample Description]]-2)+3.23)</f>
        <v>5.0500000000000007</v>
      </c>
      <c r="AE41" s="10">
        <v>15</v>
      </c>
      <c r="AF41" s="3" t="s">
        <v>24</v>
      </c>
      <c r="AG41" s="3" t="s">
        <v>24</v>
      </c>
    </row>
    <row r="42" spans="6:34" ht="15.75">
      <c r="G42" s="10">
        <v>16</v>
      </c>
      <c r="H42" s="3">
        <f>-0.55*(Table16[[#This Row],[Sample Description]]-1)+24.5</f>
        <v>16.25</v>
      </c>
      <c r="I42" s="3">
        <f>-0.07*(Table16[[#This Row],[Sample Description]]-1)+3.12</f>
        <v>2.0700000000000003</v>
      </c>
      <c r="O42" s="10">
        <v>16</v>
      </c>
      <c r="P42" s="3">
        <f>(-0.5*(Table1_37[[#This Row],[Sample Description]]-1)+23.5)</f>
        <v>16</v>
      </c>
      <c r="Q42" s="3">
        <f>(-0.065*(Table1_37[[#This Row],[Sample Description]]-1)+2.99)</f>
        <v>2.0150000000000001</v>
      </c>
      <c r="W42" s="10">
        <v>16</v>
      </c>
      <c r="X42" s="3">
        <f>(1.1*(Table1_37[[#This Row],[Sample Description]]-2)+25.4)</f>
        <v>40.799999999999997</v>
      </c>
      <c r="Y42" s="3">
        <f>(0.14*(Table1_37[[#This Row],[Sample Description]]-2)+3.23)</f>
        <v>5.19</v>
      </c>
      <c r="AE42" s="10">
        <v>16</v>
      </c>
      <c r="AF42" s="3" t="s">
        <v>24</v>
      </c>
      <c r="AG42" s="3" t="s">
        <v>24</v>
      </c>
    </row>
    <row r="43" spans="6:34" ht="15.75">
      <c r="G43" s="10">
        <v>17</v>
      </c>
      <c r="H43" s="3">
        <f>-0.55*(Table16[[#This Row],[Sample Description]]-1)+24.5</f>
        <v>15.7</v>
      </c>
      <c r="I43" s="3">
        <f>-0.07*(Table16[[#This Row],[Sample Description]]-1)+3.12</f>
        <v>2</v>
      </c>
      <c r="O43" s="10">
        <v>17</v>
      </c>
      <c r="P43" s="3">
        <f>(-0.5*(Table1_37[[#This Row],[Sample Description]]-1)+23.5)</f>
        <v>15.5</v>
      </c>
      <c r="Q43" s="3">
        <f>(-0.065*(Table1_37[[#This Row],[Sample Description]]-1)+2.99)</f>
        <v>1.9500000000000002</v>
      </c>
      <c r="W43" s="10">
        <v>17</v>
      </c>
      <c r="X43" s="3">
        <f>(1.1*(Table1_37[[#This Row],[Sample Description]]-2)+25.4)</f>
        <v>41.9</v>
      </c>
      <c r="Y43" s="3">
        <f>(0.14*(Table1_37[[#This Row],[Sample Description]]-2)+3.23)</f>
        <v>5.33</v>
      </c>
      <c r="AE43" s="10">
        <v>17</v>
      </c>
      <c r="AF43" s="3" t="s">
        <v>24</v>
      </c>
      <c r="AG43" s="3" t="s">
        <v>24</v>
      </c>
    </row>
    <row r="44" spans="6:34" ht="15.75">
      <c r="G44" s="10">
        <v>18</v>
      </c>
      <c r="H44" s="3">
        <f>-0.55*(Table16[[#This Row],[Sample Description]]-1)+24.5</f>
        <v>15.149999999999999</v>
      </c>
      <c r="I44" s="3">
        <f>-0.07*(Table16[[#This Row],[Sample Description]]-1)+3.12</f>
        <v>1.93</v>
      </c>
      <c r="O44" s="10">
        <v>18</v>
      </c>
      <c r="P44" s="3">
        <f>(-0.5*(Table1_37[[#This Row],[Sample Description]]-1)+23.5)</f>
        <v>15</v>
      </c>
      <c r="Q44" s="3">
        <f>(-0.065*(Table1_37[[#This Row],[Sample Description]]-1)+2.99)</f>
        <v>1.8850000000000002</v>
      </c>
      <c r="W44" s="10">
        <v>18</v>
      </c>
      <c r="X44" s="3">
        <f>(1.1*(Table1_37[[#This Row],[Sample Description]]-2)+25.4)</f>
        <v>43</v>
      </c>
      <c r="Y44" s="3">
        <f>(0.14*(Table1_37[[#This Row],[Sample Description]]-2)+3.23)</f>
        <v>5.4700000000000006</v>
      </c>
      <c r="AE44" s="10">
        <v>18</v>
      </c>
      <c r="AF44" s="3" t="s">
        <v>24</v>
      </c>
      <c r="AG44" s="3" t="s">
        <v>24</v>
      </c>
    </row>
    <row r="45" spans="6:34" ht="15.75">
      <c r="G45" s="10">
        <v>19</v>
      </c>
      <c r="H45" s="3">
        <f>-0.55*(Table16[[#This Row],[Sample Description]]-1)+24.5</f>
        <v>14.6</v>
      </c>
      <c r="I45" s="3">
        <f>-0.07*(Table16[[#This Row],[Sample Description]]-1)+3.12</f>
        <v>1.8599999999999999</v>
      </c>
      <c r="O45" s="10">
        <v>19</v>
      </c>
      <c r="P45" s="3">
        <f>(-0.5*(Table1_37[[#This Row],[Sample Description]]-1)+23.5)</f>
        <v>14.5</v>
      </c>
      <c r="Q45" s="3">
        <f>(-0.065*(Table1_37[[#This Row],[Sample Description]]-1)+2.99)</f>
        <v>1.8200000000000003</v>
      </c>
      <c r="W45" s="10">
        <v>19</v>
      </c>
      <c r="X45" s="3">
        <f>(1.1*(Table1_37[[#This Row],[Sample Description]]-2)+25.4)</f>
        <v>44.1</v>
      </c>
      <c r="Y45" s="3">
        <f>(0.14*(Table1_37[[#This Row],[Sample Description]]-2)+3.23)</f>
        <v>5.61</v>
      </c>
      <c r="AE45" s="10">
        <v>19</v>
      </c>
      <c r="AF45" s="3" t="s">
        <v>24</v>
      </c>
      <c r="AG45" s="3" t="s">
        <v>24</v>
      </c>
    </row>
    <row r="46" spans="6:34" ht="15.75">
      <c r="G46" s="10">
        <v>20</v>
      </c>
      <c r="H46" s="3">
        <f>-0.55*(Table16[[#This Row],[Sample Description]]-1)+24.5</f>
        <v>14.049999999999999</v>
      </c>
      <c r="I46" s="3">
        <f>-0.07*(Table16[[#This Row],[Sample Description]]-1)+3.12</f>
        <v>1.79</v>
      </c>
      <c r="O46" s="10">
        <v>20</v>
      </c>
      <c r="P46" s="3">
        <f>(-0.5*(Table1_37[[#This Row],[Sample Description]]-1)+23.5)</f>
        <v>14</v>
      </c>
      <c r="Q46" s="3">
        <f>(-0.065*(Table1_37[[#This Row],[Sample Description]]-1)+2.99)</f>
        <v>1.7550000000000001</v>
      </c>
      <c r="W46" s="10">
        <v>20</v>
      </c>
      <c r="X46" s="3">
        <f>(1.1*(Table1_37[[#This Row],[Sample Description]]-2)+25.4)</f>
        <v>45.2</v>
      </c>
      <c r="Y46" s="3">
        <f>(0.14*(Table1_37[[#This Row],[Sample Description]]-2)+3.23)</f>
        <v>5.75</v>
      </c>
      <c r="AE46" s="10">
        <v>20</v>
      </c>
      <c r="AF46" s="3" t="s">
        <v>24</v>
      </c>
      <c r="AG46" s="3" t="s">
        <v>24</v>
      </c>
    </row>
    <row r="47" spans="6:34" ht="15.75">
      <c r="F47" s="3"/>
      <c r="G47" s="3">
        <v>1</v>
      </c>
      <c r="H47" s="3">
        <v>23.5</v>
      </c>
      <c r="I47" s="3">
        <v>2.99</v>
      </c>
      <c r="J47" s="3"/>
      <c r="N47" s="3"/>
      <c r="O47" s="5">
        <v>1</v>
      </c>
      <c r="P47" s="5">
        <v>26.4</v>
      </c>
      <c r="Q47" s="5">
        <v>3.36</v>
      </c>
      <c r="R47" s="5"/>
      <c r="V47" s="3"/>
      <c r="W47" s="3">
        <v>1</v>
      </c>
      <c r="X47" s="5">
        <v>25.4</v>
      </c>
      <c r="Y47" s="5">
        <v>3.23</v>
      </c>
      <c r="Z47" s="3"/>
      <c r="AD47" s="3"/>
      <c r="AE47" s="3">
        <v>1</v>
      </c>
      <c r="AF47" s="3" t="s">
        <v>24</v>
      </c>
      <c r="AG47" s="3" t="s">
        <v>24</v>
      </c>
      <c r="AH47" s="3"/>
    </row>
    <row r="48" spans="6:34" ht="15.75">
      <c r="F48" s="3"/>
      <c r="G48" s="3">
        <v>2</v>
      </c>
      <c r="H48" s="3">
        <v>23.6</v>
      </c>
      <c r="I48" s="3">
        <v>3</v>
      </c>
      <c r="J48" s="3"/>
      <c r="N48" s="3"/>
      <c r="O48" s="5">
        <v>2</v>
      </c>
      <c r="P48" s="5">
        <v>27.5</v>
      </c>
      <c r="Q48" s="5">
        <v>3.5</v>
      </c>
      <c r="R48" s="5"/>
      <c r="V48" s="3"/>
      <c r="W48" s="3">
        <v>2</v>
      </c>
      <c r="X48" s="5">
        <v>28.1</v>
      </c>
      <c r="Y48" s="5">
        <v>3.58</v>
      </c>
      <c r="Z48" s="3"/>
      <c r="AD48" s="3"/>
      <c r="AE48" s="3">
        <v>2</v>
      </c>
      <c r="AF48" s="3" t="s">
        <v>24</v>
      </c>
      <c r="AG48" s="3" t="s">
        <v>24</v>
      </c>
      <c r="AH48" s="3"/>
    </row>
    <row r="49" spans="6:34" ht="15.75">
      <c r="F49" s="3"/>
      <c r="G49" s="3">
        <v>3</v>
      </c>
      <c r="H49" s="3">
        <v>22.1</v>
      </c>
      <c r="I49" s="3">
        <v>2.81</v>
      </c>
      <c r="J49" s="3"/>
      <c r="N49" s="3"/>
      <c r="O49" s="5">
        <v>3</v>
      </c>
      <c r="P49" s="5">
        <v>25.2</v>
      </c>
      <c r="Q49" s="5">
        <v>3.21</v>
      </c>
      <c r="R49" s="5"/>
      <c r="V49" s="3"/>
      <c r="W49" s="3">
        <v>3</v>
      </c>
      <c r="X49" s="5">
        <v>28.9</v>
      </c>
      <c r="Y49" s="5">
        <v>3.68</v>
      </c>
      <c r="Z49" s="3"/>
      <c r="AD49" s="3"/>
      <c r="AE49" s="3">
        <v>3</v>
      </c>
      <c r="AF49" s="3" t="s">
        <v>24</v>
      </c>
      <c r="AG49" s="3" t="s">
        <v>24</v>
      </c>
      <c r="AH49" s="3"/>
    </row>
    <row r="50" spans="6:34" ht="15.75">
      <c r="G50" s="10">
        <f>G49+1</f>
        <v>4</v>
      </c>
      <c r="H50" s="10">
        <f>(0.1*(Table16[[#This Row],[Sample Description]]-1)+23.5)</f>
        <v>23.8</v>
      </c>
      <c r="I50" s="10">
        <f>(0.01*(Table16[[#This Row],[Sample Description]]-1)+2.99)</f>
        <v>3.02</v>
      </c>
      <c r="O50" s="10">
        <f t="shared" ref="O50:O66" si="2">O49+1</f>
        <v>4</v>
      </c>
      <c r="P50" s="10">
        <f>(1.1*(Table1_37[[#This Row],[Sample Description]]-1)+26.4)</f>
        <v>29.7</v>
      </c>
      <c r="Q50" s="10">
        <f>(0.16*(Table1_37[[#This Row],[Sample Description]]-2)+13.28)</f>
        <v>13.6</v>
      </c>
      <c r="W50" s="10">
        <f t="shared" ref="W50:W66" si="3">W49+1</f>
        <v>4</v>
      </c>
      <c r="X50" s="10">
        <f>(0.8*(Table1_348[[#This Row],[Sample Description]]-2)+28.1)</f>
        <v>29.700000000000003</v>
      </c>
      <c r="Y50" s="10">
        <f>(0.1*(Table1_348[[#This Row],[Sample Description]]-2)+3.58)</f>
        <v>3.7800000000000002</v>
      </c>
      <c r="AE50" s="10">
        <f t="shared" ref="AE50:AE66" si="4">AE49+1</f>
        <v>4</v>
      </c>
      <c r="AF50" s="3" t="s">
        <v>24</v>
      </c>
      <c r="AG50" s="3" t="s">
        <v>24</v>
      </c>
    </row>
    <row r="51" spans="6:34" ht="15.75">
      <c r="G51" s="10">
        <f t="shared" ref="G51:G66" si="5">G50+1</f>
        <v>5</v>
      </c>
      <c r="H51" s="10">
        <f>(0.1*(Table16[[#This Row],[Sample Description]]-1)+23.5)</f>
        <v>23.9</v>
      </c>
      <c r="I51" s="10">
        <f>(0.01*(Table16[[#This Row],[Sample Description]]-1)+2.99)</f>
        <v>3.0300000000000002</v>
      </c>
      <c r="O51" s="10">
        <f t="shared" si="2"/>
        <v>5</v>
      </c>
      <c r="P51" s="10">
        <f>(1.1*(Table1_37[[#This Row],[Sample Description]]-1)+26.4)</f>
        <v>30.799999999999997</v>
      </c>
      <c r="Q51" s="10">
        <f>(0.16*(Table1_37[[#This Row],[Sample Description]]-2)+13.28)</f>
        <v>13.76</v>
      </c>
      <c r="W51" s="10">
        <f t="shared" si="3"/>
        <v>5</v>
      </c>
      <c r="X51" s="10">
        <f>(0.8*(Table1_348[[#This Row],[Sample Description]]-2)+28.1)</f>
        <v>30.5</v>
      </c>
      <c r="Y51" s="10">
        <f>(0.1*(Table1_348[[#This Row],[Sample Description]]-2)+3.58)</f>
        <v>3.88</v>
      </c>
      <c r="AE51" s="10">
        <f t="shared" si="4"/>
        <v>5</v>
      </c>
      <c r="AF51" s="3" t="s">
        <v>24</v>
      </c>
      <c r="AG51" s="3" t="s">
        <v>24</v>
      </c>
    </row>
    <row r="52" spans="6:34" ht="15.75">
      <c r="G52" s="10">
        <f t="shared" si="5"/>
        <v>6</v>
      </c>
      <c r="H52" s="10">
        <f>(0.1*(Table16[[#This Row],[Sample Description]]-1)+23.5)</f>
        <v>24</v>
      </c>
      <c r="I52" s="10">
        <f>(0.01*(Table16[[#This Row],[Sample Description]]-1)+2.99)</f>
        <v>3.04</v>
      </c>
      <c r="O52" s="10">
        <f t="shared" si="2"/>
        <v>6</v>
      </c>
      <c r="P52" s="10">
        <f>(1.1*(Table1_37[[#This Row],[Sample Description]]-1)+26.4)</f>
        <v>31.9</v>
      </c>
      <c r="Q52" s="10">
        <f>(0.16*(Table1_37[[#This Row],[Sample Description]]-2)+13.28)</f>
        <v>13.92</v>
      </c>
      <c r="W52" s="10">
        <f t="shared" si="3"/>
        <v>6</v>
      </c>
      <c r="X52" s="10">
        <f>(0.8*(Table1_348[[#This Row],[Sample Description]]-2)+28.1)</f>
        <v>31.3</v>
      </c>
      <c r="Y52" s="10">
        <f>(0.1*(Table1_348[[#This Row],[Sample Description]]-2)+3.58)</f>
        <v>3.98</v>
      </c>
      <c r="AE52" s="10">
        <f t="shared" si="4"/>
        <v>6</v>
      </c>
      <c r="AF52" s="3" t="s">
        <v>24</v>
      </c>
      <c r="AG52" s="3" t="s">
        <v>24</v>
      </c>
    </row>
    <row r="53" spans="6:34" ht="15.75">
      <c r="G53" s="10">
        <f t="shared" si="5"/>
        <v>7</v>
      </c>
      <c r="H53" s="10">
        <f>(0.1*(Table16[[#This Row],[Sample Description]]-1)+23.5)</f>
        <v>24.1</v>
      </c>
      <c r="I53" s="10">
        <f>(0.01*(Table16[[#This Row],[Sample Description]]-1)+2.99)</f>
        <v>3.0500000000000003</v>
      </c>
      <c r="O53" s="10">
        <f t="shared" si="2"/>
        <v>7</v>
      </c>
      <c r="P53" s="10">
        <f>(1.1*(Table1_37[[#This Row],[Sample Description]]-1)+26.4)</f>
        <v>33</v>
      </c>
      <c r="Q53" s="10">
        <f>(0.16*(Table1_37[[#This Row],[Sample Description]]-2)+13.28)</f>
        <v>14.08</v>
      </c>
      <c r="W53" s="10">
        <f t="shared" si="3"/>
        <v>7</v>
      </c>
      <c r="X53" s="10">
        <f>(0.8*(Table1_348[[#This Row],[Sample Description]]-2)+28.1)</f>
        <v>32.1</v>
      </c>
      <c r="Y53" s="10">
        <f>(0.1*(Table1_348[[#This Row],[Sample Description]]-2)+3.58)</f>
        <v>4.08</v>
      </c>
      <c r="AE53" s="10">
        <f t="shared" si="4"/>
        <v>7</v>
      </c>
      <c r="AF53" s="3" t="s">
        <v>24</v>
      </c>
      <c r="AG53" s="3" t="s">
        <v>24</v>
      </c>
    </row>
    <row r="54" spans="6:34" ht="15.75">
      <c r="G54" s="10">
        <f t="shared" si="5"/>
        <v>8</v>
      </c>
      <c r="H54" s="10">
        <f>(0.1*(Table16[[#This Row],[Sample Description]]-1)+23.5)</f>
        <v>24.2</v>
      </c>
      <c r="I54" s="10">
        <f>(0.01*(Table16[[#This Row],[Sample Description]]-1)+2.99)</f>
        <v>3.06</v>
      </c>
      <c r="O54" s="10">
        <f t="shared" si="2"/>
        <v>8</v>
      </c>
      <c r="P54" s="10">
        <f>(1.1*(Table1_37[[#This Row],[Sample Description]]-1)+26.4)</f>
        <v>34.1</v>
      </c>
      <c r="Q54" s="10">
        <f>(0.16*(Table1_37[[#This Row],[Sample Description]]-2)+13.28)</f>
        <v>14.239999999999998</v>
      </c>
      <c r="W54" s="10">
        <f t="shared" si="3"/>
        <v>8</v>
      </c>
      <c r="X54" s="10">
        <f>(0.8*(Table1_348[[#This Row],[Sample Description]]-2)+28.1)</f>
        <v>32.900000000000006</v>
      </c>
      <c r="Y54" s="10">
        <f>(0.1*(Table1_348[[#This Row],[Sample Description]]-2)+3.58)</f>
        <v>4.18</v>
      </c>
      <c r="AE54" s="10">
        <f t="shared" si="4"/>
        <v>8</v>
      </c>
      <c r="AF54" s="3" t="s">
        <v>24</v>
      </c>
      <c r="AG54" s="3" t="s">
        <v>24</v>
      </c>
    </row>
    <row r="55" spans="6:34" ht="15.75">
      <c r="G55" s="10">
        <f t="shared" si="5"/>
        <v>9</v>
      </c>
      <c r="H55" s="10">
        <f>(0.1*(Table16[[#This Row],[Sample Description]]-1)+23.5)</f>
        <v>24.3</v>
      </c>
      <c r="I55" s="10">
        <f>(0.01*(Table16[[#This Row],[Sample Description]]-1)+2.99)</f>
        <v>3.0700000000000003</v>
      </c>
      <c r="O55" s="10">
        <f t="shared" si="2"/>
        <v>9</v>
      </c>
      <c r="P55" s="10">
        <f>(1.1*(Table1_37[[#This Row],[Sample Description]]-1)+26.4)</f>
        <v>35.200000000000003</v>
      </c>
      <c r="Q55" s="10">
        <f>(0.16*(Table1_37[[#This Row],[Sample Description]]-2)+13.28)</f>
        <v>14.399999999999999</v>
      </c>
      <c r="W55" s="10">
        <f t="shared" si="3"/>
        <v>9</v>
      </c>
      <c r="X55" s="10">
        <f>(0.8*(Table1_348[[#This Row],[Sample Description]]-2)+28.1)</f>
        <v>33.700000000000003</v>
      </c>
      <c r="Y55" s="10">
        <f>(0.1*(Table1_348[[#This Row],[Sample Description]]-2)+3.58)</f>
        <v>4.28</v>
      </c>
      <c r="AE55" s="10">
        <f t="shared" si="4"/>
        <v>9</v>
      </c>
      <c r="AF55" s="3" t="s">
        <v>24</v>
      </c>
      <c r="AG55" s="3" t="s">
        <v>24</v>
      </c>
    </row>
    <row r="56" spans="6:34" ht="15.75">
      <c r="F56" s="10" t="s">
        <v>12</v>
      </c>
      <c r="G56" s="10">
        <f t="shared" si="5"/>
        <v>10</v>
      </c>
      <c r="H56" s="10">
        <f>(0.1*(Table16[[#This Row],[Sample Description]]-1)+23.5)</f>
        <v>24.4</v>
      </c>
      <c r="I56" s="10">
        <f>(0.01*(Table16[[#This Row],[Sample Description]]-1)+2.99)</f>
        <v>3.08</v>
      </c>
      <c r="J56">
        <f>(I47+I48+I49+I50+I51+I52+I53+I54+I55+Table16[[#This Row],[Strength(N/mm2)]]+I57+I58+I59+I60+I61+I62+I63+I64+I65+I66)/20</f>
        <v>3.0750000000000002</v>
      </c>
      <c r="N56" s="10" t="s">
        <v>12</v>
      </c>
      <c r="O56" s="10">
        <f t="shared" si="2"/>
        <v>10</v>
      </c>
      <c r="P56" s="10">
        <f>(1.1*(Table1_37[[#This Row],[Sample Description]]-1)+26.4)</f>
        <v>36.299999999999997</v>
      </c>
      <c r="Q56" s="10">
        <f>(0.16*(Table1_37[[#This Row],[Sample Description]]-2)+13.28)</f>
        <v>14.559999999999999</v>
      </c>
      <c r="R56">
        <f>(SUM(Q47:Q66)/20)</f>
        <v>13.151500000000002</v>
      </c>
      <c r="V56" s="10" t="s">
        <v>12</v>
      </c>
      <c r="W56" s="10">
        <f t="shared" si="3"/>
        <v>10</v>
      </c>
      <c r="X56" s="10">
        <f>(0.8*(Table1_348[[#This Row],[Sample Description]]-2)+28.1)</f>
        <v>34.5</v>
      </c>
      <c r="Y56" s="10">
        <f>(0.1*(Table1_348[[#This Row],[Sample Description]]-2)+3.58)</f>
        <v>4.38</v>
      </c>
      <c r="Z56">
        <f>(SUM(Y47:Y66)/20)</f>
        <v>4.4174999999999995</v>
      </c>
      <c r="AD56" s="10" t="s">
        <v>12</v>
      </c>
      <c r="AE56" s="10">
        <f t="shared" si="4"/>
        <v>10</v>
      </c>
      <c r="AF56" s="3" t="s">
        <v>24</v>
      </c>
      <c r="AG56" s="3" t="s">
        <v>24</v>
      </c>
      <c r="AH56" s="10" t="s">
        <v>24</v>
      </c>
    </row>
    <row r="57" spans="6:34" ht="15.75">
      <c r="G57" s="10">
        <f t="shared" si="5"/>
        <v>11</v>
      </c>
      <c r="H57" s="10">
        <f>(0.1*(Table16[[#This Row],[Sample Description]]-1)+23.5)</f>
        <v>24.5</v>
      </c>
      <c r="I57" s="10">
        <f>(0.01*(Table16[[#This Row],[Sample Description]]-1)+2.99)</f>
        <v>3.0900000000000003</v>
      </c>
      <c r="O57" s="10">
        <f t="shared" si="2"/>
        <v>11</v>
      </c>
      <c r="P57" s="10">
        <f>(1.1*(Table1_37[[#This Row],[Sample Description]]-1)+26.4)</f>
        <v>37.4</v>
      </c>
      <c r="Q57" s="10">
        <f>(0.16*(Table1_37[[#This Row],[Sample Description]]-2)+13.28)</f>
        <v>14.719999999999999</v>
      </c>
      <c r="W57" s="10">
        <f t="shared" si="3"/>
        <v>11</v>
      </c>
      <c r="X57" s="10">
        <f>(0.8*(Table1_348[[#This Row],[Sample Description]]-2)+28.1)</f>
        <v>35.300000000000004</v>
      </c>
      <c r="Y57" s="10">
        <f>(0.1*(Table1_348[[#This Row],[Sample Description]]-2)+3.58)</f>
        <v>4.4800000000000004</v>
      </c>
      <c r="AE57" s="10">
        <f t="shared" si="4"/>
        <v>11</v>
      </c>
      <c r="AF57" s="3" t="s">
        <v>24</v>
      </c>
      <c r="AG57" s="3" t="s">
        <v>24</v>
      </c>
    </row>
    <row r="58" spans="6:34" ht="15.75">
      <c r="G58" s="10">
        <f t="shared" si="5"/>
        <v>12</v>
      </c>
      <c r="H58" s="10">
        <f>(0.1*(Table16[[#This Row],[Sample Description]]-1)+23.5)</f>
        <v>24.6</v>
      </c>
      <c r="I58" s="10">
        <f>(0.01*(Table16[[#This Row],[Sample Description]]-1)+2.99)</f>
        <v>3.1</v>
      </c>
      <c r="O58" s="10">
        <f t="shared" si="2"/>
        <v>12</v>
      </c>
      <c r="P58" s="10">
        <f>(1.1*(Table1_37[[#This Row],[Sample Description]]-1)+26.4)</f>
        <v>38.5</v>
      </c>
      <c r="Q58" s="10">
        <f>(0.16*(Table1_37[[#This Row],[Sample Description]]-2)+13.28)</f>
        <v>14.879999999999999</v>
      </c>
      <c r="W58" s="10">
        <f t="shared" si="3"/>
        <v>12</v>
      </c>
      <c r="X58" s="10">
        <f>(0.8*(Table1_348[[#This Row],[Sample Description]]-2)+28.1)</f>
        <v>36.1</v>
      </c>
      <c r="Y58" s="10">
        <f>(0.1*(Table1_348[[#This Row],[Sample Description]]-2)+3.58)</f>
        <v>4.58</v>
      </c>
      <c r="AE58" s="10">
        <f t="shared" si="4"/>
        <v>12</v>
      </c>
      <c r="AF58" s="3" t="s">
        <v>24</v>
      </c>
      <c r="AG58" s="3" t="s">
        <v>24</v>
      </c>
    </row>
    <row r="59" spans="6:34" ht="15.75">
      <c r="G59" s="10">
        <f t="shared" si="5"/>
        <v>13</v>
      </c>
      <c r="H59" s="10">
        <f>(0.1*(Table16[[#This Row],[Sample Description]]-1)+23.5)</f>
        <v>24.7</v>
      </c>
      <c r="I59" s="10">
        <f>(0.01*(Table16[[#This Row],[Sample Description]]-1)+2.99)</f>
        <v>3.1100000000000003</v>
      </c>
      <c r="O59" s="10">
        <f t="shared" si="2"/>
        <v>13</v>
      </c>
      <c r="P59" s="10">
        <f>(1.1*(Table1_37[[#This Row],[Sample Description]]-1)+26.4)</f>
        <v>39.6</v>
      </c>
      <c r="Q59" s="10">
        <f>(0.16*(Table1_37[[#This Row],[Sample Description]]-2)+13.28)</f>
        <v>15.04</v>
      </c>
      <c r="W59" s="10">
        <f t="shared" si="3"/>
        <v>13</v>
      </c>
      <c r="X59" s="10">
        <f>(0.8*(Table1_348[[#This Row],[Sample Description]]-2)+28.1)</f>
        <v>36.900000000000006</v>
      </c>
      <c r="Y59" s="10">
        <f>(0.1*(Table1_348[[#This Row],[Sample Description]]-2)+3.58)</f>
        <v>4.68</v>
      </c>
      <c r="AE59" s="10">
        <f t="shared" si="4"/>
        <v>13</v>
      </c>
      <c r="AF59" s="3" t="s">
        <v>24</v>
      </c>
      <c r="AG59" s="3" t="s">
        <v>24</v>
      </c>
    </row>
    <row r="60" spans="6:34" ht="15.75">
      <c r="G60" s="10">
        <f t="shared" si="5"/>
        <v>14</v>
      </c>
      <c r="H60" s="10">
        <f>(0.1*(Table16[[#This Row],[Sample Description]]-1)+23.5)</f>
        <v>24.8</v>
      </c>
      <c r="I60" s="10">
        <f>(0.01*(Table16[[#This Row],[Sample Description]]-1)+2.99)</f>
        <v>3.12</v>
      </c>
      <c r="O60" s="10">
        <f t="shared" si="2"/>
        <v>14</v>
      </c>
      <c r="P60" s="10">
        <f>(1.1*(Table1_37[[#This Row],[Sample Description]]-1)+26.4)</f>
        <v>40.700000000000003</v>
      </c>
      <c r="Q60" s="10">
        <f>(0.16*(Table1_37[[#This Row],[Sample Description]]-2)+13.28)</f>
        <v>15.2</v>
      </c>
      <c r="W60" s="10">
        <f t="shared" si="3"/>
        <v>14</v>
      </c>
      <c r="X60" s="10">
        <f>(0.8*(Table1_348[[#This Row],[Sample Description]]-2)+28.1)</f>
        <v>37.700000000000003</v>
      </c>
      <c r="Y60" s="10">
        <f>(0.1*(Table1_348[[#This Row],[Sample Description]]-2)+3.58)</f>
        <v>4.78</v>
      </c>
      <c r="AE60" s="10">
        <f t="shared" si="4"/>
        <v>14</v>
      </c>
      <c r="AF60" s="3" t="s">
        <v>24</v>
      </c>
      <c r="AG60" s="3" t="s">
        <v>24</v>
      </c>
    </row>
    <row r="61" spans="6:34" ht="15.75">
      <c r="G61" s="10">
        <f t="shared" si="5"/>
        <v>15</v>
      </c>
      <c r="H61" s="10">
        <f>(0.1*(Table16[[#This Row],[Sample Description]]-1)+23.5)</f>
        <v>24.9</v>
      </c>
      <c r="I61" s="10">
        <f>(0.01*(Table16[[#This Row],[Sample Description]]-1)+2.99)</f>
        <v>3.1300000000000003</v>
      </c>
      <c r="O61" s="10">
        <f t="shared" si="2"/>
        <v>15</v>
      </c>
      <c r="P61" s="10">
        <f>(1.1*(Table1_37[[#This Row],[Sample Description]]-1)+26.4)</f>
        <v>41.8</v>
      </c>
      <c r="Q61" s="10">
        <f>(0.16*(Table1_37[[#This Row],[Sample Description]]-2)+13.28)</f>
        <v>15.36</v>
      </c>
      <c r="W61" s="10">
        <f t="shared" si="3"/>
        <v>15</v>
      </c>
      <c r="X61" s="10">
        <f>(0.8*(Table1_348[[#This Row],[Sample Description]]-2)+28.1)</f>
        <v>38.5</v>
      </c>
      <c r="Y61" s="10">
        <f>(0.1*(Table1_348[[#This Row],[Sample Description]]-2)+3.58)</f>
        <v>4.88</v>
      </c>
      <c r="AE61" s="10">
        <f t="shared" si="4"/>
        <v>15</v>
      </c>
      <c r="AF61" s="3" t="s">
        <v>24</v>
      </c>
      <c r="AG61" s="3" t="s">
        <v>24</v>
      </c>
    </row>
    <row r="62" spans="6:34" ht="15.75">
      <c r="G62" s="10">
        <f t="shared" si="5"/>
        <v>16</v>
      </c>
      <c r="H62" s="10">
        <f>(0.1*(Table16[[#This Row],[Sample Description]]-1)+23.5)</f>
        <v>25</v>
      </c>
      <c r="I62" s="10">
        <f>(0.01*(Table16[[#This Row],[Sample Description]]-1)+2.99)</f>
        <v>3.14</v>
      </c>
      <c r="O62" s="10">
        <f t="shared" si="2"/>
        <v>16</v>
      </c>
      <c r="P62" s="10">
        <f>(1.1*(Table1_37[[#This Row],[Sample Description]]-1)+26.4)</f>
        <v>42.9</v>
      </c>
      <c r="Q62" s="10">
        <f>(0.16*(Table1_37[[#This Row],[Sample Description]]-2)+13.28)</f>
        <v>15.52</v>
      </c>
      <c r="W62" s="10">
        <f t="shared" si="3"/>
        <v>16</v>
      </c>
      <c r="X62" s="10">
        <f>(0.8*(Table1_348[[#This Row],[Sample Description]]-2)+28.1)</f>
        <v>39.300000000000004</v>
      </c>
      <c r="Y62" s="10">
        <f>(0.1*(Table1_348[[#This Row],[Sample Description]]-2)+3.58)</f>
        <v>4.9800000000000004</v>
      </c>
      <c r="AE62" s="10">
        <f t="shared" si="4"/>
        <v>16</v>
      </c>
      <c r="AF62" s="3" t="s">
        <v>24</v>
      </c>
      <c r="AG62" s="3" t="s">
        <v>24</v>
      </c>
    </row>
    <row r="63" spans="6:34" ht="15.75">
      <c r="G63" s="10">
        <f t="shared" si="5"/>
        <v>17</v>
      </c>
      <c r="H63" s="10">
        <f>(0.1*(Table16[[#This Row],[Sample Description]]-1)+23.5)</f>
        <v>25.1</v>
      </c>
      <c r="I63" s="10">
        <f>(0.01*(Table16[[#This Row],[Sample Description]]-1)+2.99)</f>
        <v>3.1500000000000004</v>
      </c>
      <c r="O63" s="10">
        <f t="shared" si="2"/>
        <v>17</v>
      </c>
      <c r="P63" s="10">
        <f>(1.1*(Table1_37[[#This Row],[Sample Description]]-1)+26.4)</f>
        <v>44</v>
      </c>
      <c r="Q63" s="10">
        <f>(0.16*(Table1_37[[#This Row],[Sample Description]]-2)+13.28)</f>
        <v>15.68</v>
      </c>
      <c r="W63" s="10">
        <f t="shared" si="3"/>
        <v>17</v>
      </c>
      <c r="X63" s="10">
        <f>(0.8*(Table1_348[[#This Row],[Sample Description]]-2)+28.1)</f>
        <v>40.1</v>
      </c>
      <c r="Y63" s="10">
        <f>(0.1*(Table1_348[[#This Row],[Sample Description]]-2)+3.58)</f>
        <v>5.08</v>
      </c>
      <c r="AE63" s="10">
        <f t="shared" si="4"/>
        <v>17</v>
      </c>
      <c r="AF63" s="3" t="s">
        <v>24</v>
      </c>
      <c r="AG63" s="3" t="s">
        <v>24</v>
      </c>
    </row>
    <row r="64" spans="6:34" ht="15.75">
      <c r="G64" s="10">
        <f t="shared" si="5"/>
        <v>18</v>
      </c>
      <c r="H64" s="10">
        <f>(0.1*(Table16[[#This Row],[Sample Description]]-1)+23.5)</f>
        <v>25.2</v>
      </c>
      <c r="I64" s="10">
        <f>(0.01*(Table16[[#This Row],[Sample Description]]-1)+2.99)</f>
        <v>3.16</v>
      </c>
      <c r="O64" s="10">
        <f t="shared" si="2"/>
        <v>18</v>
      </c>
      <c r="P64" s="10">
        <f>(1.1*(Table1_37[[#This Row],[Sample Description]]-1)+26.4)</f>
        <v>45.1</v>
      </c>
      <c r="Q64" s="10">
        <f>(0.16*(Table1_37[[#This Row],[Sample Description]]-2)+13.28)</f>
        <v>15.84</v>
      </c>
      <c r="W64" s="10">
        <f t="shared" si="3"/>
        <v>18</v>
      </c>
      <c r="X64" s="10">
        <f>(0.8*(Table1_348[[#This Row],[Sample Description]]-2)+28.1)</f>
        <v>40.900000000000006</v>
      </c>
      <c r="Y64" s="10">
        <f>(0.1*(Table1_348[[#This Row],[Sample Description]]-2)+3.58)</f>
        <v>5.18</v>
      </c>
      <c r="AE64" s="10">
        <f t="shared" si="4"/>
        <v>18</v>
      </c>
      <c r="AF64" s="3" t="s">
        <v>24</v>
      </c>
      <c r="AG64" s="3" t="s">
        <v>24</v>
      </c>
    </row>
    <row r="65" spans="6:34" ht="15.75">
      <c r="G65" s="10">
        <f t="shared" si="5"/>
        <v>19</v>
      </c>
      <c r="H65" s="10">
        <f>(0.1*(Table16[[#This Row],[Sample Description]]-1)+23.5)</f>
        <v>25.3</v>
      </c>
      <c r="I65" s="10">
        <f>(0.01*(Table16[[#This Row],[Sample Description]]-1)+2.99)</f>
        <v>3.1700000000000004</v>
      </c>
      <c r="O65" s="10">
        <f t="shared" si="2"/>
        <v>19</v>
      </c>
      <c r="P65" s="10">
        <f>(1.1*(Table1_37[[#This Row],[Sample Description]]-1)+26.4)</f>
        <v>46.2</v>
      </c>
      <c r="Q65" s="10">
        <f>(0.16*(Table1_37[[#This Row],[Sample Description]]-2)+13.28)</f>
        <v>16</v>
      </c>
      <c r="W65" s="10">
        <f t="shared" si="3"/>
        <v>19</v>
      </c>
      <c r="X65" s="10">
        <f>(0.8*(Table1_348[[#This Row],[Sample Description]]-2)+28.1)</f>
        <v>41.7</v>
      </c>
      <c r="Y65" s="10">
        <f>(0.1*(Table1_348[[#This Row],[Sample Description]]-2)+3.58)</f>
        <v>5.28</v>
      </c>
      <c r="AE65" s="10">
        <f t="shared" si="4"/>
        <v>19</v>
      </c>
      <c r="AF65" s="3" t="s">
        <v>24</v>
      </c>
      <c r="AG65" s="3" t="s">
        <v>24</v>
      </c>
    </row>
    <row r="66" spans="6:34" ht="15.75">
      <c r="G66" s="10">
        <f t="shared" si="5"/>
        <v>20</v>
      </c>
      <c r="H66" s="10">
        <f>(0.1*(Table16[[#This Row],[Sample Description]]-1)+23.5)</f>
        <v>25.4</v>
      </c>
      <c r="I66" s="10">
        <f>(0.01*(Table16[[#This Row],[Sample Description]]-1)+2.99)</f>
        <v>3.18</v>
      </c>
      <c r="O66" s="10">
        <f t="shared" si="2"/>
        <v>20</v>
      </c>
      <c r="P66" s="10">
        <f>(1.1*(Table1_37[[#This Row],[Sample Description]]-1)+26.4)</f>
        <v>47.3</v>
      </c>
      <c r="Q66" s="10">
        <f>(0.16*(Table1_37[[#This Row],[Sample Description]]-2)+13.28)</f>
        <v>16.16</v>
      </c>
      <c r="W66" s="10">
        <f t="shared" si="3"/>
        <v>20</v>
      </c>
      <c r="X66" s="10">
        <f>(0.8*(Table1_348[[#This Row],[Sample Description]]-2)+28.1)</f>
        <v>42.5</v>
      </c>
      <c r="Y66" s="10">
        <f>(0.1*(Table1_348[[#This Row],[Sample Description]]-2)+3.58)</f>
        <v>5.38</v>
      </c>
      <c r="AE66" s="10">
        <f t="shared" si="4"/>
        <v>20</v>
      </c>
      <c r="AF66" s="3" t="s">
        <v>24</v>
      </c>
      <c r="AG66" s="3" t="s">
        <v>24</v>
      </c>
    </row>
    <row r="67" spans="6:34" ht="15.75">
      <c r="F67" s="3"/>
      <c r="G67" s="3">
        <v>1</v>
      </c>
      <c r="H67" s="3">
        <v>25.2</v>
      </c>
      <c r="I67" s="3">
        <v>3.21</v>
      </c>
      <c r="J67" s="3"/>
      <c r="N67" s="3"/>
      <c r="O67" s="3">
        <v>1</v>
      </c>
      <c r="P67" s="5">
        <v>21.4</v>
      </c>
      <c r="Q67" s="5">
        <v>2.72</v>
      </c>
      <c r="R67" s="5"/>
      <c r="V67" s="3"/>
      <c r="W67" s="3">
        <v>1</v>
      </c>
      <c r="X67" s="5">
        <v>22.8</v>
      </c>
      <c r="Y67" s="5">
        <v>2.9</v>
      </c>
      <c r="Z67" s="3"/>
      <c r="AD67" s="3"/>
      <c r="AE67" s="3">
        <v>1</v>
      </c>
      <c r="AF67" s="3" t="s">
        <v>24</v>
      </c>
      <c r="AG67" s="3" t="s">
        <v>24</v>
      </c>
      <c r="AH67" s="3"/>
    </row>
    <row r="68" spans="6:34" ht="15.75">
      <c r="F68" s="3"/>
      <c r="G68" s="3">
        <v>2</v>
      </c>
      <c r="H68" s="3">
        <v>22.1</v>
      </c>
      <c r="I68" s="3">
        <v>2.82</v>
      </c>
      <c r="J68" s="3"/>
      <c r="N68" s="3"/>
      <c r="O68" s="3">
        <v>2</v>
      </c>
      <c r="P68" s="5">
        <v>24.8</v>
      </c>
      <c r="Q68" s="5">
        <v>3.16</v>
      </c>
      <c r="R68" s="5"/>
      <c r="V68" s="3"/>
      <c r="W68" s="3">
        <v>2</v>
      </c>
      <c r="X68" s="5">
        <v>24.5</v>
      </c>
      <c r="Y68" s="5">
        <v>3.12</v>
      </c>
      <c r="Z68" s="3"/>
      <c r="AD68" s="3"/>
      <c r="AE68" s="3">
        <v>2</v>
      </c>
      <c r="AF68" s="3" t="s">
        <v>24</v>
      </c>
      <c r="AG68" s="3" t="s">
        <v>24</v>
      </c>
      <c r="AH68" s="3"/>
    </row>
    <row r="69" spans="6:34" ht="15.75">
      <c r="F69" s="3"/>
      <c r="G69" s="3">
        <v>3</v>
      </c>
      <c r="H69" s="3">
        <v>20.5</v>
      </c>
      <c r="I69" s="3">
        <v>2.61</v>
      </c>
      <c r="J69" s="3"/>
      <c r="N69" s="3"/>
      <c r="O69" s="3">
        <v>3</v>
      </c>
      <c r="P69" s="5">
        <v>19.100000000000001</v>
      </c>
      <c r="Q69" s="5">
        <v>2.4300000000000002</v>
      </c>
      <c r="R69" s="5"/>
      <c r="V69" s="3"/>
      <c r="W69" s="3">
        <v>3</v>
      </c>
      <c r="X69" s="5">
        <v>23.4</v>
      </c>
      <c r="Y69" s="5">
        <v>2.98</v>
      </c>
      <c r="Z69" s="3"/>
      <c r="AD69" s="3"/>
      <c r="AE69" s="3">
        <v>3</v>
      </c>
      <c r="AF69" s="3" t="s">
        <v>24</v>
      </c>
      <c r="AG69" s="3" t="s">
        <v>24</v>
      </c>
      <c r="AH69" s="3"/>
    </row>
    <row r="70" spans="6:34" ht="15.75">
      <c r="G70" s="10">
        <f>G69+1</f>
        <v>4</v>
      </c>
      <c r="H70" s="17">
        <f>(-1.6*(Table16[[#This Row],[Sample Description]]-2)+22.1)</f>
        <v>18.900000000000002</v>
      </c>
      <c r="I70" s="10">
        <f>(-0.21*(Table16[[#This Row],[Sample Description]]-2)+2.82)</f>
        <v>2.4</v>
      </c>
      <c r="O70" s="10">
        <f t="shared" ref="O70:O86" si="6">O69+1</f>
        <v>4</v>
      </c>
      <c r="P70" s="10">
        <f>(3.4*(Table1_37[[#This Row],[Sample Description]]-1)+21.4)</f>
        <v>31.599999999999998</v>
      </c>
      <c r="Q70" s="10">
        <f>(0.44*(Table1_37[[#This Row],[Sample Description]]-1)+2.72)</f>
        <v>4.04</v>
      </c>
      <c r="W70" s="10">
        <f t="shared" ref="W70:W86" si="7">W69+1</f>
        <v>4</v>
      </c>
      <c r="X70" s="10">
        <f>(0.3*(Table1_348[[#This Row],[Sample Description]]-1)+22.8)</f>
        <v>23.7</v>
      </c>
      <c r="Y70" s="10">
        <f>(0.04*(Table1_348[[#This Row],[Sample Description]]-1)+2.9)</f>
        <v>3.02</v>
      </c>
      <c r="AE70" s="10">
        <f t="shared" ref="AE70:AE86" si="8">AE69+1</f>
        <v>4</v>
      </c>
      <c r="AF70" s="3" t="s">
        <v>24</v>
      </c>
      <c r="AG70" s="3" t="s">
        <v>24</v>
      </c>
    </row>
    <row r="71" spans="6:34" ht="15.75">
      <c r="G71" s="10">
        <f t="shared" ref="G71:G86" si="9">G70+1</f>
        <v>5</v>
      </c>
      <c r="H71" s="17">
        <f>(-1.6*(Table16[[#This Row],[Sample Description]]-2)+22.1)</f>
        <v>17.3</v>
      </c>
      <c r="I71" s="10">
        <f>(-0.21*(Table16[[#This Row],[Sample Description]]-2)+2.82)</f>
        <v>2.19</v>
      </c>
      <c r="O71" s="10">
        <f t="shared" si="6"/>
        <v>5</v>
      </c>
      <c r="P71" s="10">
        <f>(3.4*(Table1_37[[#This Row],[Sample Description]]-1)+21.4)</f>
        <v>35</v>
      </c>
      <c r="Q71" s="10">
        <f>(0.44*(Table1_37[[#This Row],[Sample Description]]-1)+2.72)</f>
        <v>4.4800000000000004</v>
      </c>
      <c r="W71" s="10">
        <f t="shared" si="7"/>
        <v>5</v>
      </c>
      <c r="X71" s="10">
        <f>(0.3*(Table1_348[[#This Row],[Sample Description]]-1)+22.8)</f>
        <v>24</v>
      </c>
      <c r="Y71" s="10">
        <f>(0.04*(Table1_348[[#This Row],[Sample Description]]-1)+2.9)</f>
        <v>3.06</v>
      </c>
      <c r="AE71" s="10">
        <f t="shared" si="8"/>
        <v>5</v>
      </c>
      <c r="AF71" s="3" t="s">
        <v>24</v>
      </c>
      <c r="AG71" s="3" t="s">
        <v>24</v>
      </c>
    </row>
    <row r="72" spans="6:34" ht="15.75">
      <c r="G72" s="10">
        <f t="shared" si="9"/>
        <v>6</v>
      </c>
      <c r="H72" s="17">
        <f>(-1.6*(Table16[[#This Row],[Sample Description]]-2)+22.1)</f>
        <v>15.700000000000001</v>
      </c>
      <c r="I72" s="10">
        <f>(-0.21*(Table16[[#This Row],[Sample Description]]-2)+2.82)</f>
        <v>1.98</v>
      </c>
      <c r="O72" s="10">
        <f t="shared" si="6"/>
        <v>6</v>
      </c>
      <c r="P72" s="10">
        <f>(3.4*(Table1_37[[#This Row],[Sample Description]]-1)+21.4)</f>
        <v>38.4</v>
      </c>
      <c r="Q72" s="10">
        <f>(0.44*(Table1_37[[#This Row],[Sample Description]]-1)+2.72)</f>
        <v>4.92</v>
      </c>
      <c r="W72" s="10">
        <f t="shared" si="7"/>
        <v>6</v>
      </c>
      <c r="X72" s="10">
        <f>(0.3*(Table1_348[[#This Row],[Sample Description]]-1)+22.8)</f>
        <v>24.3</v>
      </c>
      <c r="Y72" s="10">
        <f>(0.04*(Table1_348[[#This Row],[Sample Description]]-1)+2.9)</f>
        <v>3.1</v>
      </c>
      <c r="AE72" s="10">
        <f t="shared" si="8"/>
        <v>6</v>
      </c>
      <c r="AF72" s="3" t="s">
        <v>24</v>
      </c>
      <c r="AG72" s="3" t="s">
        <v>24</v>
      </c>
    </row>
    <row r="73" spans="6:34" ht="15.75">
      <c r="G73" s="10">
        <f t="shared" si="9"/>
        <v>7</v>
      </c>
      <c r="H73" s="17">
        <f>(-1.6*(Table16[[#This Row],[Sample Description]]-2)+22.1)</f>
        <v>14.100000000000001</v>
      </c>
      <c r="I73" s="10">
        <f>(-0.21*(Table16[[#This Row],[Sample Description]]-2)+2.82)</f>
        <v>1.7699999999999998</v>
      </c>
      <c r="O73" s="10">
        <f t="shared" si="6"/>
        <v>7</v>
      </c>
      <c r="P73" s="10">
        <f>(3.4*(Table1_37[[#This Row],[Sample Description]]-1)+21.4)</f>
        <v>41.8</v>
      </c>
      <c r="Q73" s="10">
        <f>(0.44*(Table1_37[[#This Row],[Sample Description]]-1)+2.72)</f>
        <v>5.36</v>
      </c>
      <c r="W73" s="10">
        <f t="shared" si="7"/>
        <v>7</v>
      </c>
      <c r="X73" s="10">
        <f>(0.3*(Table1_348[[#This Row],[Sample Description]]-1)+22.8)</f>
        <v>24.6</v>
      </c>
      <c r="Y73" s="10">
        <f>(0.04*(Table1_348[[#This Row],[Sample Description]]-1)+2.9)</f>
        <v>3.1399999999999997</v>
      </c>
      <c r="AE73" s="10">
        <f t="shared" si="8"/>
        <v>7</v>
      </c>
      <c r="AF73" s="3" t="s">
        <v>24</v>
      </c>
      <c r="AG73" s="3" t="s">
        <v>24</v>
      </c>
    </row>
    <row r="74" spans="6:34" ht="15.75">
      <c r="G74" s="10">
        <f t="shared" si="9"/>
        <v>8</v>
      </c>
      <c r="H74" s="17">
        <f>(-1.6*(Table16[[#This Row],[Sample Description]]-2)+22.1)</f>
        <v>12.5</v>
      </c>
      <c r="I74" s="10">
        <f>(-0.21*(Table16[[#This Row],[Sample Description]]-2)+2.82)</f>
        <v>1.5599999999999998</v>
      </c>
      <c r="O74" s="10">
        <f t="shared" si="6"/>
        <v>8</v>
      </c>
      <c r="P74" s="10">
        <f>(3.4*(Table1_37[[#This Row],[Sample Description]]-1)+21.4)</f>
        <v>45.2</v>
      </c>
      <c r="Q74" s="10">
        <f>(0.44*(Table1_37[[#This Row],[Sample Description]]-1)+2.72)</f>
        <v>5.8000000000000007</v>
      </c>
      <c r="W74" s="10">
        <f t="shared" si="7"/>
        <v>8</v>
      </c>
      <c r="X74" s="10">
        <f>(0.3*(Table1_348[[#This Row],[Sample Description]]-1)+22.8)</f>
        <v>24.900000000000002</v>
      </c>
      <c r="Y74" s="10">
        <f>(0.04*(Table1_348[[#This Row],[Sample Description]]-1)+2.9)</f>
        <v>3.1799999999999997</v>
      </c>
      <c r="AE74" s="10">
        <f t="shared" si="8"/>
        <v>8</v>
      </c>
      <c r="AF74" s="3" t="s">
        <v>24</v>
      </c>
      <c r="AG74" s="3" t="s">
        <v>24</v>
      </c>
    </row>
    <row r="75" spans="6:34" ht="15.75">
      <c r="G75" s="10">
        <f t="shared" si="9"/>
        <v>9</v>
      </c>
      <c r="H75" s="17">
        <f>(-1.6*(Table16[[#This Row],[Sample Description]]-2)+22.1)</f>
        <v>10.9</v>
      </c>
      <c r="I75" s="10">
        <f>(-0.21*(Table16[[#This Row],[Sample Description]]-2)+2.82)</f>
        <v>1.3499999999999999</v>
      </c>
      <c r="O75" s="10">
        <f t="shared" si="6"/>
        <v>9</v>
      </c>
      <c r="P75" s="10">
        <f>(3.4*(Table1_37[[#This Row],[Sample Description]]-1)+21.4)</f>
        <v>48.599999999999994</v>
      </c>
      <c r="Q75" s="10">
        <f>(0.44*(Table1_37[[#This Row],[Sample Description]]-1)+2.72)</f>
        <v>6.24</v>
      </c>
      <c r="W75" s="10">
        <f t="shared" si="7"/>
        <v>9</v>
      </c>
      <c r="X75" s="10">
        <f>(0.3*(Table1_348[[#This Row],[Sample Description]]-1)+22.8)</f>
        <v>25.2</v>
      </c>
      <c r="Y75" s="10">
        <f>(0.04*(Table1_348[[#This Row],[Sample Description]]-1)+2.9)</f>
        <v>3.2199999999999998</v>
      </c>
      <c r="AE75" s="10">
        <f t="shared" si="8"/>
        <v>9</v>
      </c>
      <c r="AF75" s="3" t="s">
        <v>24</v>
      </c>
      <c r="AG75" s="3" t="s">
        <v>24</v>
      </c>
    </row>
    <row r="76" spans="6:34" ht="15.75">
      <c r="F76" s="10" t="s">
        <v>13</v>
      </c>
      <c r="G76" s="10">
        <f t="shared" si="9"/>
        <v>10</v>
      </c>
      <c r="H76" s="17">
        <f>(-1.6*(Table16[[#This Row],[Sample Description]]-2)+22.1)</f>
        <v>9.3000000000000007</v>
      </c>
      <c r="I76" s="10">
        <f>(-0.21*(Table16[[#This Row],[Sample Description]]-2)+2.82)</f>
        <v>1.1399999999999999</v>
      </c>
      <c r="J76">
        <f>(I67+I68+I69+I70+I71+I72+I73+I74+I75+Table16[[#This Row],[Strength(N/mm2)]]+I77+I78+I79+I80+I81+I82+I83+I84+I85+I86)/20</f>
        <v>1.0439999999999998</v>
      </c>
      <c r="N76" s="10" t="s">
        <v>13</v>
      </c>
      <c r="O76" s="10">
        <f t="shared" si="6"/>
        <v>10</v>
      </c>
      <c r="P76" s="10">
        <f>(3.4*(Table1_37[[#This Row],[Sample Description]]-1)+21.4)</f>
        <v>52</v>
      </c>
      <c r="Q76" s="10">
        <f>(0.44*(Table1_37[[#This Row],[Sample Description]]-1)+2.72)</f>
        <v>6.68</v>
      </c>
      <c r="R76">
        <f>(SUM(Q67:Q86)/20)</f>
        <v>6.8415000000000008</v>
      </c>
      <c r="V76" s="10" t="s">
        <v>13</v>
      </c>
      <c r="W76" s="10">
        <f t="shared" si="7"/>
        <v>10</v>
      </c>
      <c r="X76" s="10">
        <f>(0.3*(Table1_348[[#This Row],[Sample Description]]-1)+22.8)</f>
        <v>25.5</v>
      </c>
      <c r="Y76" s="10">
        <f>(0.04*(Table1_348[[#This Row],[Sample Description]]-1)+2.9)</f>
        <v>3.26</v>
      </c>
      <c r="Z76">
        <f>(SUM(Y67:Y86)/20)</f>
        <v>3.2889999999999993</v>
      </c>
      <c r="AD76" s="10" t="s">
        <v>13</v>
      </c>
      <c r="AE76" s="10">
        <f t="shared" si="8"/>
        <v>10</v>
      </c>
      <c r="AF76" s="3" t="s">
        <v>24</v>
      </c>
      <c r="AG76" s="3" t="s">
        <v>24</v>
      </c>
      <c r="AH76" s="10" t="s">
        <v>24</v>
      </c>
    </row>
    <row r="77" spans="6:34" ht="15.75">
      <c r="G77" s="10">
        <f t="shared" si="9"/>
        <v>11</v>
      </c>
      <c r="H77" s="17">
        <f>(-1.6*(Table16[[#This Row],[Sample Description]]-2)+22.1)</f>
        <v>7.7000000000000011</v>
      </c>
      <c r="I77" s="10">
        <f>(-0.21*(Table16[[#This Row],[Sample Description]]-2)+2.82)</f>
        <v>0.92999999999999994</v>
      </c>
      <c r="O77" s="10">
        <f t="shared" si="6"/>
        <v>11</v>
      </c>
      <c r="P77" s="10">
        <f>(3.4*(Table1_37[[#This Row],[Sample Description]]-1)+21.4)</f>
        <v>55.4</v>
      </c>
      <c r="Q77" s="10">
        <f>(0.44*(Table1_37[[#This Row],[Sample Description]]-1)+2.72)</f>
        <v>7.120000000000001</v>
      </c>
      <c r="W77" s="10">
        <f t="shared" si="7"/>
        <v>11</v>
      </c>
      <c r="X77" s="10">
        <f>(0.3*(Table1_348[[#This Row],[Sample Description]]-1)+22.8)</f>
        <v>25.8</v>
      </c>
      <c r="Y77" s="10">
        <f>(0.04*(Table1_348[[#This Row],[Sample Description]]-1)+2.9)</f>
        <v>3.3</v>
      </c>
      <c r="AE77" s="10">
        <f t="shared" si="8"/>
        <v>11</v>
      </c>
      <c r="AF77" s="3" t="s">
        <v>24</v>
      </c>
      <c r="AG77" s="3" t="s">
        <v>24</v>
      </c>
    </row>
    <row r="78" spans="6:34" ht="15.75">
      <c r="G78" s="10">
        <f t="shared" si="9"/>
        <v>12</v>
      </c>
      <c r="H78" s="17">
        <f>(-1.6*(Table16[[#This Row],[Sample Description]]-2)+22.1)</f>
        <v>6.1000000000000014</v>
      </c>
      <c r="I78" s="10">
        <f>(-0.21*(Table16[[#This Row],[Sample Description]]-2)+2.82)</f>
        <v>0.71999999999999975</v>
      </c>
      <c r="O78" s="10">
        <f t="shared" si="6"/>
        <v>12</v>
      </c>
      <c r="P78" s="10">
        <f>(3.4*(Table1_37[[#This Row],[Sample Description]]-1)+21.4)</f>
        <v>58.8</v>
      </c>
      <c r="Q78" s="10">
        <f>(0.44*(Table1_37[[#This Row],[Sample Description]]-1)+2.72)</f>
        <v>7.5600000000000005</v>
      </c>
      <c r="W78" s="10">
        <f t="shared" si="7"/>
        <v>12</v>
      </c>
      <c r="X78" s="10">
        <f>(0.3*(Table1_348[[#This Row],[Sample Description]]-1)+22.8)</f>
        <v>26.1</v>
      </c>
      <c r="Y78" s="10">
        <f>(0.04*(Table1_348[[#This Row],[Sample Description]]-1)+2.9)</f>
        <v>3.34</v>
      </c>
      <c r="AE78" s="10">
        <f t="shared" si="8"/>
        <v>12</v>
      </c>
      <c r="AF78" s="3" t="s">
        <v>24</v>
      </c>
      <c r="AG78" s="3" t="s">
        <v>24</v>
      </c>
    </row>
    <row r="79" spans="6:34" ht="15.75">
      <c r="G79" s="10">
        <f t="shared" si="9"/>
        <v>13</v>
      </c>
      <c r="H79" s="17">
        <f>(-1.6*(Table16[[#This Row],[Sample Description]]-2)+22.1)</f>
        <v>4.5</v>
      </c>
      <c r="I79" s="10">
        <f>(-0.21*(Table16[[#This Row],[Sample Description]]-2)+2.82)</f>
        <v>0.50999999999999979</v>
      </c>
      <c r="O79" s="10">
        <f t="shared" si="6"/>
        <v>13</v>
      </c>
      <c r="P79" s="10">
        <f>(3.4*(Table1_37[[#This Row],[Sample Description]]-1)+21.4)</f>
        <v>62.199999999999996</v>
      </c>
      <c r="Q79" s="10">
        <f>(0.44*(Table1_37[[#This Row],[Sample Description]]-1)+2.72)</f>
        <v>8</v>
      </c>
      <c r="W79" s="10">
        <f t="shared" si="7"/>
        <v>13</v>
      </c>
      <c r="X79" s="10">
        <f>(0.3*(Table1_348[[#This Row],[Sample Description]]-1)+22.8)</f>
        <v>26.4</v>
      </c>
      <c r="Y79" s="10">
        <f>(0.04*(Table1_348[[#This Row],[Sample Description]]-1)+2.9)</f>
        <v>3.38</v>
      </c>
      <c r="AE79" s="10">
        <f t="shared" si="8"/>
        <v>13</v>
      </c>
      <c r="AF79" s="3" t="s">
        <v>24</v>
      </c>
      <c r="AG79" s="3" t="s">
        <v>24</v>
      </c>
    </row>
    <row r="80" spans="6:34" ht="15.75">
      <c r="G80" s="10">
        <f t="shared" si="9"/>
        <v>14</v>
      </c>
      <c r="H80" s="17">
        <f>(-1.6*(Table16[[#This Row],[Sample Description]]-2)+22.1)</f>
        <v>2.8999999999999986</v>
      </c>
      <c r="I80" s="10">
        <f>(-0.21*(Table16[[#This Row],[Sample Description]]-2)+2.82)</f>
        <v>0.29999999999999982</v>
      </c>
      <c r="O80" s="10">
        <f t="shared" si="6"/>
        <v>14</v>
      </c>
      <c r="P80" s="10">
        <f>(3.4*(Table1_37[[#This Row],[Sample Description]]-1)+21.4)</f>
        <v>65.599999999999994</v>
      </c>
      <c r="Q80" s="10">
        <f>(0.44*(Table1_37[[#This Row],[Sample Description]]-1)+2.72)</f>
        <v>8.44</v>
      </c>
      <c r="W80" s="10">
        <f t="shared" si="7"/>
        <v>14</v>
      </c>
      <c r="X80" s="10">
        <f>(0.3*(Table1_348[[#This Row],[Sample Description]]-1)+22.8)</f>
        <v>26.7</v>
      </c>
      <c r="Y80" s="10">
        <f>(0.04*(Table1_348[[#This Row],[Sample Description]]-1)+2.9)</f>
        <v>3.42</v>
      </c>
      <c r="AE80" s="10">
        <f t="shared" si="8"/>
        <v>14</v>
      </c>
      <c r="AF80" s="3" t="s">
        <v>24</v>
      </c>
      <c r="AG80" s="3" t="s">
        <v>24</v>
      </c>
    </row>
    <row r="81" spans="6:34" ht="15.75">
      <c r="G81" s="10">
        <f t="shared" si="9"/>
        <v>15</v>
      </c>
      <c r="H81" s="17">
        <f>(-1.6*(Table16[[#This Row],[Sample Description]]-2)+22.1)</f>
        <v>1.3000000000000007</v>
      </c>
      <c r="I81" s="10">
        <f>(-0.21*(Table16[[#This Row],[Sample Description]]-2)+2.82)</f>
        <v>8.9999999999999858E-2</v>
      </c>
      <c r="O81" s="10">
        <f t="shared" si="6"/>
        <v>15</v>
      </c>
      <c r="P81" s="10">
        <f>(3.4*(Table1_37[[#This Row],[Sample Description]]-1)+21.4)</f>
        <v>69</v>
      </c>
      <c r="Q81" s="10">
        <f>(0.44*(Table1_37[[#This Row],[Sample Description]]-1)+2.72)</f>
        <v>8.8800000000000008</v>
      </c>
      <c r="W81" s="10">
        <f t="shared" si="7"/>
        <v>15</v>
      </c>
      <c r="X81" s="10">
        <f>(0.3*(Table1_348[[#This Row],[Sample Description]]-1)+22.8)</f>
        <v>27</v>
      </c>
      <c r="Y81" s="10">
        <f>(0.04*(Table1_348[[#This Row],[Sample Description]]-1)+2.9)</f>
        <v>3.46</v>
      </c>
      <c r="AE81" s="10">
        <f t="shared" si="8"/>
        <v>15</v>
      </c>
      <c r="AF81" s="3" t="s">
        <v>24</v>
      </c>
      <c r="AG81" s="3" t="s">
        <v>24</v>
      </c>
    </row>
    <row r="82" spans="6:34" ht="15.75">
      <c r="G82" s="10">
        <f t="shared" si="9"/>
        <v>16</v>
      </c>
      <c r="H82" s="17">
        <f>(-1.6*(Table16[[#This Row],[Sample Description]]-2)+22.1)</f>
        <v>-0.30000000000000071</v>
      </c>
      <c r="I82" s="10">
        <f>(-0.21*(Table16[[#This Row],[Sample Description]]-2)+2.82)</f>
        <v>-0.12000000000000011</v>
      </c>
      <c r="O82" s="10">
        <f t="shared" si="6"/>
        <v>16</v>
      </c>
      <c r="P82" s="10">
        <f>(3.4*(Table1_37[[#This Row],[Sample Description]]-1)+21.4)</f>
        <v>72.400000000000006</v>
      </c>
      <c r="Q82" s="10">
        <f>(0.44*(Table1_37[[#This Row],[Sample Description]]-1)+2.72)</f>
        <v>9.32</v>
      </c>
      <c r="W82" s="10">
        <f t="shared" si="7"/>
        <v>16</v>
      </c>
      <c r="X82" s="10">
        <f>(0.3*(Table1_348[[#This Row],[Sample Description]]-1)+22.8)</f>
        <v>27.3</v>
      </c>
      <c r="Y82" s="10">
        <f>(0.04*(Table1_348[[#This Row],[Sample Description]]-1)+2.9)</f>
        <v>3.5</v>
      </c>
      <c r="AE82" s="10">
        <f t="shared" si="8"/>
        <v>16</v>
      </c>
      <c r="AF82" s="3" t="s">
        <v>24</v>
      </c>
      <c r="AG82" s="3" t="s">
        <v>24</v>
      </c>
    </row>
    <row r="83" spans="6:34" ht="15.75">
      <c r="G83" s="10">
        <f t="shared" si="9"/>
        <v>17</v>
      </c>
      <c r="H83" s="17">
        <f>(-1.6*(Table16[[#This Row],[Sample Description]]-2)+22.1)</f>
        <v>-1.8999999999999986</v>
      </c>
      <c r="I83" s="10">
        <f>(-0.21*(Table16[[#This Row],[Sample Description]]-2)+2.82)</f>
        <v>-0.33000000000000007</v>
      </c>
      <c r="O83" s="10">
        <f t="shared" si="6"/>
        <v>17</v>
      </c>
      <c r="P83" s="10">
        <f>(3.4*(Table1_37[[#This Row],[Sample Description]]-1)+21.4)</f>
        <v>75.8</v>
      </c>
      <c r="Q83" s="10">
        <f>(0.44*(Table1_37[[#This Row],[Sample Description]]-1)+2.72)</f>
        <v>9.76</v>
      </c>
      <c r="W83" s="10">
        <f t="shared" si="7"/>
        <v>17</v>
      </c>
      <c r="X83" s="10">
        <f>(0.3*(Table1_348[[#This Row],[Sample Description]]-1)+22.8)</f>
        <v>27.6</v>
      </c>
      <c r="Y83" s="10">
        <f>(0.04*(Table1_348[[#This Row],[Sample Description]]-1)+2.9)</f>
        <v>3.54</v>
      </c>
      <c r="AE83" s="10">
        <f t="shared" si="8"/>
        <v>17</v>
      </c>
      <c r="AF83" s="3" t="s">
        <v>24</v>
      </c>
      <c r="AG83" s="3" t="s">
        <v>24</v>
      </c>
    </row>
    <row r="84" spans="6:34" ht="15.75">
      <c r="G84" s="10">
        <f t="shared" si="9"/>
        <v>18</v>
      </c>
      <c r="H84" s="17">
        <f>(-1.6*(Table16[[#This Row],[Sample Description]]-2)+22.1)</f>
        <v>-3.5</v>
      </c>
      <c r="I84" s="10">
        <f>(-0.21*(Table16[[#This Row],[Sample Description]]-2)+2.82)</f>
        <v>-0.54</v>
      </c>
      <c r="O84" s="10">
        <f t="shared" si="6"/>
        <v>18</v>
      </c>
      <c r="P84" s="10">
        <f>(3.4*(Table1_37[[#This Row],[Sample Description]]-1)+21.4)</f>
        <v>79.199999999999989</v>
      </c>
      <c r="Q84" s="10">
        <f>(0.44*(Table1_37[[#This Row],[Sample Description]]-1)+2.72)</f>
        <v>10.200000000000001</v>
      </c>
      <c r="W84" s="10">
        <f t="shared" si="7"/>
        <v>18</v>
      </c>
      <c r="X84" s="10">
        <f>(0.3*(Table1_348[[#This Row],[Sample Description]]-1)+22.8)</f>
        <v>27.9</v>
      </c>
      <c r="Y84" s="10">
        <f>(0.04*(Table1_348[[#This Row],[Sample Description]]-1)+2.9)</f>
        <v>3.58</v>
      </c>
      <c r="AE84" s="10">
        <f t="shared" si="8"/>
        <v>18</v>
      </c>
      <c r="AF84" s="3" t="s">
        <v>24</v>
      </c>
      <c r="AG84" s="3" t="s">
        <v>24</v>
      </c>
    </row>
    <row r="85" spans="6:34" ht="15.75">
      <c r="G85" s="10">
        <f t="shared" si="9"/>
        <v>19</v>
      </c>
      <c r="H85" s="17">
        <f>(-1.6*(Table16[[#This Row],[Sample Description]]-2)+22.1)</f>
        <v>-5.1000000000000014</v>
      </c>
      <c r="I85" s="10">
        <f>(-0.21*(Table16[[#This Row],[Sample Description]]-2)+2.82)</f>
        <v>-0.75</v>
      </c>
      <c r="O85" s="10">
        <f t="shared" si="6"/>
        <v>19</v>
      </c>
      <c r="P85" s="10">
        <f>(3.4*(Table1_37[[#This Row],[Sample Description]]-1)+21.4)</f>
        <v>82.6</v>
      </c>
      <c r="Q85" s="10">
        <f>(0.44*(Table1_37[[#This Row],[Sample Description]]-1)+2.72)</f>
        <v>10.64</v>
      </c>
      <c r="W85" s="10">
        <f t="shared" si="7"/>
        <v>19</v>
      </c>
      <c r="X85" s="10">
        <f>(0.3*(Table1_348[[#This Row],[Sample Description]]-1)+22.8)</f>
        <v>28.2</v>
      </c>
      <c r="Y85" s="10">
        <f>(0.04*(Table1_348[[#This Row],[Sample Description]]-1)+2.9)</f>
        <v>3.62</v>
      </c>
      <c r="AE85" s="10">
        <f t="shared" si="8"/>
        <v>19</v>
      </c>
      <c r="AF85" s="3" t="s">
        <v>24</v>
      </c>
      <c r="AG85" s="3" t="s">
        <v>24</v>
      </c>
    </row>
    <row r="86" spans="6:34" ht="15.75">
      <c r="G86" s="10">
        <f t="shared" si="9"/>
        <v>20</v>
      </c>
      <c r="H86" s="17">
        <f>(-1.6*(Table16[[#This Row],[Sample Description]]-2)+22.1)</f>
        <v>-6.6999999999999993</v>
      </c>
      <c r="I86" s="10">
        <f>(-0.21*(Table16[[#This Row],[Sample Description]]-2)+2.82)</f>
        <v>-0.96</v>
      </c>
      <c r="O86" s="10">
        <f t="shared" si="6"/>
        <v>20</v>
      </c>
      <c r="P86" s="10">
        <f>(3.4*(Table1_37[[#This Row],[Sample Description]]-1)+21.4)</f>
        <v>86</v>
      </c>
      <c r="Q86" s="10">
        <f>(0.44*(Table1_37[[#This Row],[Sample Description]]-1)+2.72)</f>
        <v>11.08</v>
      </c>
      <c r="W86" s="10">
        <f t="shared" si="7"/>
        <v>20</v>
      </c>
      <c r="X86" s="10">
        <f>(0.3*(Table1_348[[#This Row],[Sample Description]]-1)+22.8)</f>
        <v>28.5</v>
      </c>
      <c r="Y86" s="10">
        <f>(0.04*(Table1_348[[#This Row],[Sample Description]]-1)+2.9)</f>
        <v>3.66</v>
      </c>
      <c r="AE86" s="10">
        <f t="shared" si="8"/>
        <v>20</v>
      </c>
      <c r="AF86" s="3" t="s">
        <v>24</v>
      </c>
      <c r="AG86" s="3" t="s">
        <v>24</v>
      </c>
    </row>
    <row r="87" spans="6:34" ht="15.75">
      <c r="F87" s="3"/>
      <c r="G87" s="3">
        <v>1</v>
      </c>
      <c r="H87" s="3">
        <v>25.1</v>
      </c>
      <c r="I87" s="3">
        <v>3.19</v>
      </c>
      <c r="J87" s="3"/>
      <c r="N87" s="3"/>
      <c r="O87" s="3">
        <v>1</v>
      </c>
      <c r="P87" s="5">
        <v>21.7</v>
      </c>
      <c r="Q87" s="5">
        <v>2.76</v>
      </c>
      <c r="R87" s="5"/>
      <c r="V87" s="3"/>
      <c r="W87" s="3">
        <v>1</v>
      </c>
      <c r="X87" s="5">
        <v>22.4</v>
      </c>
      <c r="Y87" s="5">
        <v>2.85</v>
      </c>
      <c r="Z87" s="3"/>
      <c r="AD87" s="3"/>
      <c r="AE87" s="3">
        <v>1</v>
      </c>
      <c r="AF87" s="3" t="s">
        <v>24</v>
      </c>
      <c r="AG87" s="3" t="s">
        <v>24</v>
      </c>
      <c r="AH87" s="3"/>
    </row>
    <row r="88" spans="6:34" ht="15.75">
      <c r="F88" s="3"/>
      <c r="G88" s="3">
        <v>2</v>
      </c>
      <c r="H88" s="3">
        <v>20</v>
      </c>
      <c r="I88" s="3">
        <v>2.5499999999999998</v>
      </c>
      <c r="J88" s="3"/>
      <c r="N88" s="3"/>
      <c r="O88" s="3">
        <v>2</v>
      </c>
      <c r="P88" s="5">
        <v>25.6</v>
      </c>
      <c r="Q88" s="5">
        <v>3.26</v>
      </c>
      <c r="R88" s="5"/>
      <c r="V88" s="3"/>
      <c r="W88" s="3">
        <v>2</v>
      </c>
      <c r="X88" s="5">
        <v>26.5</v>
      </c>
      <c r="Y88" s="5">
        <v>3.37</v>
      </c>
      <c r="Z88" s="3"/>
      <c r="AD88" s="3"/>
      <c r="AE88" s="3">
        <v>2</v>
      </c>
      <c r="AF88" s="3" t="s">
        <v>24</v>
      </c>
      <c r="AG88" s="3" t="s">
        <v>24</v>
      </c>
      <c r="AH88" s="3"/>
    </row>
    <row r="89" spans="6:34" ht="15.75">
      <c r="F89" s="3"/>
      <c r="G89" s="3">
        <v>3</v>
      </c>
      <c r="H89" s="3">
        <v>21.3</v>
      </c>
      <c r="I89" s="3">
        <v>2.71</v>
      </c>
      <c r="J89" s="3"/>
      <c r="N89" s="3"/>
      <c r="O89" s="3">
        <v>3</v>
      </c>
      <c r="P89" s="5">
        <v>22.3</v>
      </c>
      <c r="Q89" s="5">
        <v>2.84</v>
      </c>
      <c r="R89" s="5"/>
      <c r="V89" s="3"/>
      <c r="W89" s="3">
        <v>3</v>
      </c>
      <c r="X89" s="5">
        <v>27.1</v>
      </c>
      <c r="Y89" s="5">
        <v>3.45</v>
      </c>
      <c r="Z89" s="3"/>
      <c r="AD89" s="3"/>
      <c r="AE89" s="3">
        <v>3</v>
      </c>
      <c r="AF89" s="3" t="s">
        <v>24</v>
      </c>
      <c r="AG89" s="3" t="s">
        <v>24</v>
      </c>
      <c r="AH89" s="3"/>
    </row>
    <row r="90" spans="6:34" ht="15.75">
      <c r="G90" s="10">
        <f>G89+1</f>
        <v>4</v>
      </c>
      <c r="H90" s="10">
        <f>(1.3*(Table16[[#This Row],[Sample Description]]-2)+20.3)</f>
        <v>22.900000000000002</v>
      </c>
      <c r="I90" s="10">
        <f>(0.16*(Table16[[#This Row],[Sample Description]]-2)+2.55)</f>
        <v>2.8699999999999997</v>
      </c>
      <c r="O90" s="10">
        <f t="shared" ref="O90:O106" si="10">O89+1</f>
        <v>4</v>
      </c>
      <c r="P90" s="10">
        <f>(0.3*(Table1_37[[#This Row],[Sample Description]]-1)+21.7)</f>
        <v>22.599999999999998</v>
      </c>
      <c r="Q90" s="10">
        <f>(0.04*(Table1_37[[#This Row],[Sample Description]]-1)+2.76)</f>
        <v>2.88</v>
      </c>
      <c r="W90" s="10">
        <f t="shared" ref="W90:W106" si="11">W89+1</f>
        <v>4</v>
      </c>
      <c r="X90" s="10">
        <f>(0.6*(Table1_348[[#This Row],[Sample Description]]-2)+26.5)</f>
        <v>27.7</v>
      </c>
      <c r="Y90" s="10">
        <f>(0.08*(Table1_348[[#This Row],[Sample Description]]-2)+3.37)</f>
        <v>3.5300000000000002</v>
      </c>
      <c r="AE90" s="10">
        <f t="shared" ref="AE90:AE106" si="12">AE89+1</f>
        <v>4</v>
      </c>
      <c r="AF90" s="3" t="s">
        <v>24</v>
      </c>
      <c r="AG90" s="3" t="s">
        <v>24</v>
      </c>
    </row>
    <row r="91" spans="6:34" ht="15.75">
      <c r="G91" s="10">
        <f t="shared" ref="G91:G106" si="13">G90+1</f>
        <v>5</v>
      </c>
      <c r="H91" s="10">
        <f>(1.3*(Table16[[#This Row],[Sample Description]]-2)+20.3)</f>
        <v>24.200000000000003</v>
      </c>
      <c r="I91" s="10">
        <f>(0.16*(Table16[[#This Row],[Sample Description]]-2)+2.55)</f>
        <v>3.03</v>
      </c>
      <c r="O91" s="10">
        <f t="shared" si="10"/>
        <v>5</v>
      </c>
      <c r="P91" s="10">
        <f>(0.3*(Table1_37[[#This Row],[Sample Description]]-1)+21.7)</f>
        <v>22.9</v>
      </c>
      <c r="Q91" s="10">
        <f>(0.04*(Table1_37[[#This Row],[Sample Description]]-1)+2.76)</f>
        <v>2.92</v>
      </c>
      <c r="W91" s="10">
        <f t="shared" si="11"/>
        <v>5</v>
      </c>
      <c r="X91" s="10">
        <f>(0.6*(Table1_348[[#This Row],[Sample Description]]-2)+26.5)</f>
        <v>28.3</v>
      </c>
      <c r="Y91" s="10">
        <f>(0.08*(Table1_348[[#This Row],[Sample Description]]-2)+3.37)</f>
        <v>3.6100000000000003</v>
      </c>
      <c r="AE91" s="10">
        <f t="shared" si="12"/>
        <v>5</v>
      </c>
      <c r="AF91" s="3" t="s">
        <v>24</v>
      </c>
      <c r="AG91" s="3" t="s">
        <v>24</v>
      </c>
    </row>
    <row r="92" spans="6:34" ht="15.75">
      <c r="G92" s="10">
        <f t="shared" si="13"/>
        <v>6</v>
      </c>
      <c r="H92" s="10">
        <f>(1.3*(Table16[[#This Row],[Sample Description]]-2)+20.3)</f>
        <v>25.5</v>
      </c>
      <c r="I92" s="10">
        <f>(0.16*(Table16[[#This Row],[Sample Description]]-2)+2.55)</f>
        <v>3.19</v>
      </c>
      <c r="O92" s="10">
        <f t="shared" si="10"/>
        <v>6</v>
      </c>
      <c r="P92" s="10">
        <f>(0.3*(Table1_37[[#This Row],[Sample Description]]-1)+21.7)</f>
        <v>23.2</v>
      </c>
      <c r="Q92" s="10">
        <f>(0.04*(Table1_37[[#This Row],[Sample Description]]-1)+2.76)</f>
        <v>2.96</v>
      </c>
      <c r="W92" s="10">
        <f t="shared" si="11"/>
        <v>6</v>
      </c>
      <c r="X92" s="10">
        <f>(0.6*(Table1_348[[#This Row],[Sample Description]]-2)+26.5)</f>
        <v>28.9</v>
      </c>
      <c r="Y92" s="10">
        <f>(0.08*(Table1_348[[#This Row],[Sample Description]]-2)+3.37)</f>
        <v>3.69</v>
      </c>
      <c r="AE92" s="10">
        <f t="shared" si="12"/>
        <v>6</v>
      </c>
      <c r="AF92" s="3" t="s">
        <v>24</v>
      </c>
      <c r="AG92" s="3" t="s">
        <v>24</v>
      </c>
    </row>
    <row r="93" spans="6:34" ht="15.75">
      <c r="G93" s="10">
        <f t="shared" si="13"/>
        <v>7</v>
      </c>
      <c r="H93" s="10">
        <f>(1.3*(Table16[[#This Row],[Sample Description]]-2)+20.3)</f>
        <v>26.8</v>
      </c>
      <c r="I93" s="10">
        <f>(0.16*(Table16[[#This Row],[Sample Description]]-2)+2.55)</f>
        <v>3.3499999999999996</v>
      </c>
      <c r="O93" s="10">
        <f t="shared" si="10"/>
        <v>7</v>
      </c>
      <c r="P93" s="10">
        <f>(0.3*(Table1_37[[#This Row],[Sample Description]]-1)+21.7)</f>
        <v>23.5</v>
      </c>
      <c r="Q93" s="10">
        <f>(0.04*(Table1_37[[#This Row],[Sample Description]]-1)+2.76)</f>
        <v>3</v>
      </c>
      <c r="W93" s="10">
        <f t="shared" si="11"/>
        <v>7</v>
      </c>
      <c r="X93" s="10">
        <f>(0.6*(Table1_348[[#This Row],[Sample Description]]-2)+26.5)</f>
        <v>29.5</v>
      </c>
      <c r="Y93" s="10">
        <f>(0.08*(Table1_348[[#This Row],[Sample Description]]-2)+3.37)</f>
        <v>3.77</v>
      </c>
      <c r="AE93" s="10">
        <f t="shared" si="12"/>
        <v>7</v>
      </c>
      <c r="AF93" s="3" t="s">
        <v>24</v>
      </c>
      <c r="AG93" s="3" t="s">
        <v>24</v>
      </c>
    </row>
    <row r="94" spans="6:34" ht="15.75">
      <c r="G94" s="10">
        <f t="shared" si="13"/>
        <v>8</v>
      </c>
      <c r="H94" s="10">
        <f>(1.3*(Table16[[#This Row],[Sample Description]]-2)+20.3)</f>
        <v>28.1</v>
      </c>
      <c r="I94" s="10">
        <f>(0.16*(Table16[[#This Row],[Sample Description]]-2)+2.55)</f>
        <v>3.51</v>
      </c>
      <c r="O94" s="10">
        <f t="shared" si="10"/>
        <v>8</v>
      </c>
      <c r="P94" s="10">
        <f>(0.3*(Table1_37[[#This Row],[Sample Description]]-1)+21.7)</f>
        <v>23.8</v>
      </c>
      <c r="Q94" s="10">
        <f>(0.04*(Table1_37[[#This Row],[Sample Description]]-1)+2.76)</f>
        <v>3.04</v>
      </c>
      <c r="W94" s="10">
        <f t="shared" si="11"/>
        <v>8</v>
      </c>
      <c r="X94" s="10">
        <f>(0.6*(Table1_348[[#This Row],[Sample Description]]-2)+26.5)</f>
        <v>30.1</v>
      </c>
      <c r="Y94" s="10">
        <f>(0.08*(Table1_348[[#This Row],[Sample Description]]-2)+3.37)</f>
        <v>3.85</v>
      </c>
      <c r="AE94" s="10">
        <f t="shared" si="12"/>
        <v>8</v>
      </c>
      <c r="AF94" s="3" t="s">
        <v>24</v>
      </c>
      <c r="AG94" s="3" t="s">
        <v>24</v>
      </c>
    </row>
    <row r="95" spans="6:34" ht="15.75">
      <c r="G95" s="10">
        <f t="shared" si="13"/>
        <v>9</v>
      </c>
      <c r="H95" s="10">
        <f>(1.3*(Table16[[#This Row],[Sample Description]]-2)+20.3)</f>
        <v>29.4</v>
      </c>
      <c r="I95" s="10">
        <f>(0.16*(Table16[[#This Row],[Sample Description]]-2)+2.55)</f>
        <v>3.67</v>
      </c>
      <c r="O95" s="10">
        <f t="shared" si="10"/>
        <v>9</v>
      </c>
      <c r="P95" s="10">
        <f>(0.3*(Table1_37[[#This Row],[Sample Description]]-1)+21.7)</f>
        <v>24.099999999999998</v>
      </c>
      <c r="Q95" s="10">
        <f>(0.04*(Table1_37[[#This Row],[Sample Description]]-1)+2.76)</f>
        <v>3.0799999999999996</v>
      </c>
      <c r="W95" s="10">
        <f t="shared" si="11"/>
        <v>9</v>
      </c>
      <c r="X95" s="10">
        <f>(0.6*(Table1_348[[#This Row],[Sample Description]]-2)+26.5)</f>
        <v>30.7</v>
      </c>
      <c r="Y95" s="10">
        <f>(0.08*(Table1_348[[#This Row],[Sample Description]]-2)+3.37)</f>
        <v>3.93</v>
      </c>
      <c r="AE95" s="10">
        <f t="shared" si="12"/>
        <v>9</v>
      </c>
      <c r="AF95" s="3" t="s">
        <v>24</v>
      </c>
      <c r="AG95" s="3" t="s">
        <v>24</v>
      </c>
    </row>
    <row r="96" spans="6:34" ht="15.75">
      <c r="F96" s="12" t="s">
        <v>14</v>
      </c>
      <c r="G96" s="10">
        <f t="shared" si="13"/>
        <v>10</v>
      </c>
      <c r="H96" s="10">
        <f>(1.3*(Table16[[#This Row],[Sample Description]]-2)+20.3)</f>
        <v>30.700000000000003</v>
      </c>
      <c r="I96" s="10">
        <f>(0.16*(Table16[[#This Row],[Sample Description]]-2)+2.55)</f>
        <v>3.83</v>
      </c>
      <c r="J96">
        <f>(SUM(I87:I106))/20</f>
        <v>3.95</v>
      </c>
      <c r="N96" s="12" t="s">
        <v>14</v>
      </c>
      <c r="O96" s="10">
        <f t="shared" si="10"/>
        <v>10</v>
      </c>
      <c r="P96" s="10">
        <f>(0.3*(Table1_37[[#This Row],[Sample Description]]-1)+21.7)</f>
        <v>24.4</v>
      </c>
      <c r="Q96" s="10">
        <f>(0.04*(Table1_37[[#This Row],[Sample Description]]-1)+2.76)</f>
        <v>3.1199999999999997</v>
      </c>
      <c r="R96">
        <f>(SUM(Q87:Q106)/20)</f>
        <v>3.1629999999999994</v>
      </c>
      <c r="V96" s="12" t="s">
        <v>14</v>
      </c>
      <c r="W96" s="10">
        <f t="shared" si="11"/>
        <v>10</v>
      </c>
      <c r="X96" s="10">
        <f>(0.6*(Table1_348[[#This Row],[Sample Description]]-2)+26.5)</f>
        <v>31.3</v>
      </c>
      <c r="Y96" s="10">
        <f>(0.08*(Table1_348[[#This Row],[Sample Description]]-2)+3.37)</f>
        <v>4.01</v>
      </c>
      <c r="Z96">
        <f>(SUM(Y87:Y106)/20)</f>
        <v>4.0280000000000005</v>
      </c>
      <c r="AD96" s="12" t="s">
        <v>14</v>
      </c>
      <c r="AE96" s="10">
        <f t="shared" si="12"/>
        <v>10</v>
      </c>
      <c r="AF96" s="3" t="s">
        <v>24</v>
      </c>
      <c r="AG96" s="3" t="s">
        <v>24</v>
      </c>
      <c r="AH96" s="10" t="s">
        <v>24</v>
      </c>
    </row>
    <row r="97" spans="6:34" ht="15.75">
      <c r="G97" s="10">
        <f t="shared" si="13"/>
        <v>11</v>
      </c>
      <c r="H97" s="10">
        <f>(1.3*(Table16[[#This Row],[Sample Description]]-2)+20.3)</f>
        <v>32</v>
      </c>
      <c r="I97" s="10">
        <f>(0.16*(Table16[[#This Row],[Sample Description]]-2)+2.55)</f>
        <v>3.9899999999999998</v>
      </c>
      <c r="O97" s="10">
        <f t="shared" si="10"/>
        <v>11</v>
      </c>
      <c r="P97" s="10">
        <f>(0.3*(Table1_37[[#This Row],[Sample Description]]-1)+21.7)</f>
        <v>24.7</v>
      </c>
      <c r="Q97" s="10">
        <f>(0.04*(Table1_37[[#This Row],[Sample Description]]-1)+2.76)</f>
        <v>3.1599999999999997</v>
      </c>
      <c r="W97" s="10">
        <f t="shared" si="11"/>
        <v>11</v>
      </c>
      <c r="X97" s="10">
        <f>(0.6*(Table1_348[[#This Row],[Sample Description]]-2)+26.5)</f>
        <v>31.9</v>
      </c>
      <c r="Y97" s="10">
        <f>(0.08*(Table1_348[[#This Row],[Sample Description]]-2)+3.37)</f>
        <v>4.09</v>
      </c>
      <c r="AE97" s="10">
        <f t="shared" si="12"/>
        <v>11</v>
      </c>
      <c r="AF97" s="3" t="s">
        <v>24</v>
      </c>
      <c r="AG97" s="3" t="s">
        <v>24</v>
      </c>
    </row>
    <row r="98" spans="6:34" ht="15.75">
      <c r="G98" s="10">
        <f t="shared" si="13"/>
        <v>12</v>
      </c>
      <c r="H98" s="10">
        <f>(1.3*(Table16[[#This Row],[Sample Description]]-2)+20.3)</f>
        <v>33.299999999999997</v>
      </c>
      <c r="I98" s="10">
        <f>(0.16*(Table16[[#This Row],[Sample Description]]-2)+2.55)</f>
        <v>4.1500000000000004</v>
      </c>
      <c r="O98" s="10">
        <f t="shared" si="10"/>
        <v>12</v>
      </c>
      <c r="P98" s="10">
        <f>(0.3*(Table1_37[[#This Row],[Sample Description]]-1)+21.7)</f>
        <v>25</v>
      </c>
      <c r="Q98" s="10">
        <f>(0.04*(Table1_37[[#This Row],[Sample Description]]-1)+2.76)</f>
        <v>3.1999999999999997</v>
      </c>
      <c r="W98" s="10">
        <f t="shared" si="11"/>
        <v>12</v>
      </c>
      <c r="X98" s="10">
        <f>(0.6*(Table1_348[[#This Row],[Sample Description]]-2)+26.5)</f>
        <v>32.5</v>
      </c>
      <c r="Y98" s="10">
        <f>(0.08*(Table1_348[[#This Row],[Sample Description]]-2)+3.37)</f>
        <v>4.17</v>
      </c>
      <c r="AE98" s="10">
        <f t="shared" si="12"/>
        <v>12</v>
      </c>
      <c r="AF98" s="3" t="s">
        <v>24</v>
      </c>
      <c r="AG98" s="3" t="s">
        <v>24</v>
      </c>
    </row>
    <row r="99" spans="6:34" ht="15.75">
      <c r="G99" s="10">
        <f t="shared" si="13"/>
        <v>13</v>
      </c>
      <c r="H99" s="10">
        <f>(1.3*(Table16[[#This Row],[Sample Description]]-2)+20.3)</f>
        <v>34.6</v>
      </c>
      <c r="I99" s="10">
        <f>(0.16*(Table16[[#This Row],[Sample Description]]-2)+2.55)</f>
        <v>4.3099999999999996</v>
      </c>
      <c r="O99" s="10">
        <f t="shared" si="10"/>
        <v>13</v>
      </c>
      <c r="P99" s="10">
        <f>(0.3*(Table1_37[[#This Row],[Sample Description]]-1)+21.7)</f>
        <v>25.299999999999997</v>
      </c>
      <c r="Q99" s="10">
        <f>(0.04*(Table1_37[[#This Row],[Sample Description]]-1)+2.76)</f>
        <v>3.2399999999999998</v>
      </c>
      <c r="W99" s="10">
        <f t="shared" si="11"/>
        <v>13</v>
      </c>
      <c r="X99" s="10">
        <f>(0.6*(Table1_348[[#This Row],[Sample Description]]-2)+26.5)</f>
        <v>33.1</v>
      </c>
      <c r="Y99" s="10">
        <f>(0.08*(Table1_348[[#This Row],[Sample Description]]-2)+3.37)</f>
        <v>4.25</v>
      </c>
      <c r="AE99" s="10">
        <f t="shared" si="12"/>
        <v>13</v>
      </c>
      <c r="AF99" s="3" t="s">
        <v>24</v>
      </c>
      <c r="AG99" s="3" t="s">
        <v>24</v>
      </c>
    </row>
    <row r="100" spans="6:34" ht="15.75">
      <c r="G100" s="10">
        <f t="shared" si="13"/>
        <v>14</v>
      </c>
      <c r="H100" s="10">
        <f>(1.3*(Table16[[#This Row],[Sample Description]]-2)+20.3)</f>
        <v>35.900000000000006</v>
      </c>
      <c r="I100" s="10">
        <f>(0.16*(Table16[[#This Row],[Sample Description]]-2)+2.55)</f>
        <v>4.47</v>
      </c>
      <c r="O100" s="10">
        <f t="shared" si="10"/>
        <v>14</v>
      </c>
      <c r="P100" s="10">
        <f>(0.3*(Table1_37[[#This Row],[Sample Description]]-1)+21.7)</f>
        <v>25.599999999999998</v>
      </c>
      <c r="Q100" s="10">
        <f>(0.04*(Table1_37[[#This Row],[Sample Description]]-1)+2.76)</f>
        <v>3.28</v>
      </c>
      <c r="W100" s="10">
        <f t="shared" si="11"/>
        <v>14</v>
      </c>
      <c r="X100" s="10">
        <f>(0.6*(Table1_348[[#This Row],[Sample Description]]-2)+26.5)</f>
        <v>33.700000000000003</v>
      </c>
      <c r="Y100" s="10">
        <f>(0.08*(Table1_348[[#This Row],[Sample Description]]-2)+3.37)</f>
        <v>4.33</v>
      </c>
      <c r="AE100" s="10">
        <f t="shared" si="12"/>
        <v>14</v>
      </c>
      <c r="AF100" s="3" t="s">
        <v>24</v>
      </c>
      <c r="AG100" s="3" t="s">
        <v>24</v>
      </c>
    </row>
    <row r="101" spans="6:34" ht="15.75">
      <c r="G101" s="10">
        <f t="shared" si="13"/>
        <v>15</v>
      </c>
      <c r="H101" s="10">
        <f>(1.3*(Table16[[#This Row],[Sample Description]]-2)+20.3)</f>
        <v>37.200000000000003</v>
      </c>
      <c r="I101" s="10">
        <f>(0.16*(Table16[[#This Row],[Sample Description]]-2)+2.55)</f>
        <v>4.63</v>
      </c>
      <c r="O101" s="10">
        <f t="shared" si="10"/>
        <v>15</v>
      </c>
      <c r="P101" s="10">
        <f>(0.3*(Table1_37[[#This Row],[Sample Description]]-1)+21.7)</f>
        <v>25.9</v>
      </c>
      <c r="Q101" s="10">
        <f>(0.04*(Table1_37[[#This Row],[Sample Description]]-1)+2.76)</f>
        <v>3.32</v>
      </c>
      <c r="W101" s="10">
        <f t="shared" si="11"/>
        <v>15</v>
      </c>
      <c r="X101" s="10">
        <f>(0.6*(Table1_348[[#This Row],[Sample Description]]-2)+26.5)</f>
        <v>34.299999999999997</v>
      </c>
      <c r="Y101" s="10">
        <f>(0.08*(Table1_348[[#This Row],[Sample Description]]-2)+3.37)</f>
        <v>4.41</v>
      </c>
      <c r="AE101" s="10">
        <f t="shared" si="12"/>
        <v>15</v>
      </c>
      <c r="AF101" s="3" t="s">
        <v>24</v>
      </c>
      <c r="AG101" s="3" t="s">
        <v>24</v>
      </c>
    </row>
    <row r="102" spans="6:34" ht="15.75">
      <c r="G102" s="10">
        <f t="shared" si="13"/>
        <v>16</v>
      </c>
      <c r="H102" s="10">
        <f>(1.3*(Table16[[#This Row],[Sample Description]]-2)+20.3)</f>
        <v>38.5</v>
      </c>
      <c r="I102" s="10">
        <f>(0.16*(Table16[[#This Row],[Sample Description]]-2)+2.55)</f>
        <v>4.79</v>
      </c>
      <c r="O102" s="10">
        <f t="shared" si="10"/>
        <v>16</v>
      </c>
      <c r="P102" s="10">
        <f>(0.3*(Table1_37[[#This Row],[Sample Description]]-1)+21.7)</f>
        <v>26.2</v>
      </c>
      <c r="Q102" s="10">
        <f>(0.04*(Table1_37[[#This Row],[Sample Description]]-1)+2.76)</f>
        <v>3.36</v>
      </c>
      <c r="W102" s="10">
        <f t="shared" si="11"/>
        <v>16</v>
      </c>
      <c r="X102" s="10">
        <f>(0.6*(Table1_348[[#This Row],[Sample Description]]-2)+26.5)</f>
        <v>34.9</v>
      </c>
      <c r="Y102" s="10">
        <f>(0.08*(Table1_348[[#This Row],[Sample Description]]-2)+3.37)</f>
        <v>4.49</v>
      </c>
      <c r="AE102" s="10">
        <f t="shared" si="12"/>
        <v>16</v>
      </c>
      <c r="AF102" s="3" t="s">
        <v>24</v>
      </c>
      <c r="AG102" s="3" t="s">
        <v>24</v>
      </c>
    </row>
    <row r="103" spans="6:34" ht="15.75">
      <c r="G103" s="10">
        <f t="shared" si="13"/>
        <v>17</v>
      </c>
      <c r="H103" s="10">
        <f>(1.3*(Table16[[#This Row],[Sample Description]]-2)+20.3)</f>
        <v>39.799999999999997</v>
      </c>
      <c r="I103" s="10">
        <f>(0.16*(Table16[[#This Row],[Sample Description]]-2)+2.55)</f>
        <v>4.9499999999999993</v>
      </c>
      <c r="O103" s="10">
        <f t="shared" si="10"/>
        <v>17</v>
      </c>
      <c r="P103" s="10">
        <f>(0.3*(Table1_37[[#This Row],[Sample Description]]-1)+21.7)</f>
        <v>26.5</v>
      </c>
      <c r="Q103" s="10">
        <f>(0.04*(Table1_37[[#This Row],[Sample Description]]-1)+2.76)</f>
        <v>3.4</v>
      </c>
      <c r="W103" s="10">
        <f t="shared" si="11"/>
        <v>17</v>
      </c>
      <c r="X103" s="10">
        <f>(0.6*(Table1_348[[#This Row],[Sample Description]]-2)+26.5)</f>
        <v>35.5</v>
      </c>
      <c r="Y103" s="10">
        <f>(0.08*(Table1_348[[#This Row],[Sample Description]]-2)+3.37)</f>
        <v>4.57</v>
      </c>
      <c r="AE103" s="10">
        <f t="shared" si="12"/>
        <v>17</v>
      </c>
      <c r="AF103" s="3" t="s">
        <v>24</v>
      </c>
      <c r="AG103" s="3" t="s">
        <v>24</v>
      </c>
    </row>
    <row r="104" spans="6:34" ht="15.75">
      <c r="G104" s="10">
        <f t="shared" si="13"/>
        <v>18</v>
      </c>
      <c r="H104" s="10">
        <f>(1.3*(Table16[[#This Row],[Sample Description]]-2)+20.3)</f>
        <v>41.1</v>
      </c>
      <c r="I104" s="10">
        <f>(0.16*(Table16[[#This Row],[Sample Description]]-2)+2.55)</f>
        <v>5.1099999999999994</v>
      </c>
      <c r="O104" s="10">
        <f t="shared" si="10"/>
        <v>18</v>
      </c>
      <c r="P104" s="10">
        <f>(0.3*(Table1_37[[#This Row],[Sample Description]]-1)+21.7)</f>
        <v>26.799999999999997</v>
      </c>
      <c r="Q104" s="10">
        <f>(0.04*(Table1_37[[#This Row],[Sample Description]]-1)+2.76)</f>
        <v>3.44</v>
      </c>
      <c r="W104" s="10">
        <f t="shared" si="11"/>
        <v>18</v>
      </c>
      <c r="X104" s="10">
        <f>(0.6*(Table1_348[[#This Row],[Sample Description]]-2)+26.5)</f>
        <v>36.1</v>
      </c>
      <c r="Y104" s="10">
        <f>(0.08*(Table1_348[[#This Row],[Sample Description]]-2)+3.37)</f>
        <v>4.6500000000000004</v>
      </c>
      <c r="AE104" s="10">
        <f t="shared" si="12"/>
        <v>18</v>
      </c>
      <c r="AF104" s="3" t="s">
        <v>24</v>
      </c>
      <c r="AG104" s="3" t="s">
        <v>24</v>
      </c>
    </row>
    <row r="105" spans="6:34" ht="15.75">
      <c r="G105" s="10">
        <f t="shared" si="13"/>
        <v>19</v>
      </c>
      <c r="H105" s="10">
        <f>(1.3*(Table16[[#This Row],[Sample Description]]-2)+20.3)</f>
        <v>42.400000000000006</v>
      </c>
      <c r="I105" s="10">
        <f>(0.16*(Table16[[#This Row],[Sample Description]]-2)+2.55)</f>
        <v>5.27</v>
      </c>
      <c r="O105" s="10">
        <f t="shared" si="10"/>
        <v>19</v>
      </c>
      <c r="P105" s="10">
        <f>(0.3*(Table1_37[[#This Row],[Sample Description]]-1)+21.7)</f>
        <v>27.099999999999998</v>
      </c>
      <c r="Q105" s="10">
        <f>(0.04*(Table1_37[[#This Row],[Sample Description]]-1)+2.76)</f>
        <v>3.4799999999999995</v>
      </c>
      <c r="W105" s="10">
        <f t="shared" si="11"/>
        <v>19</v>
      </c>
      <c r="X105" s="10">
        <f>(0.6*(Table1_348[[#This Row],[Sample Description]]-2)+26.5)</f>
        <v>36.700000000000003</v>
      </c>
      <c r="Y105" s="10">
        <f>(0.08*(Table1_348[[#This Row],[Sample Description]]-2)+3.37)</f>
        <v>4.7300000000000004</v>
      </c>
      <c r="AE105" s="10">
        <f t="shared" si="12"/>
        <v>19</v>
      </c>
      <c r="AF105" s="3" t="s">
        <v>24</v>
      </c>
      <c r="AG105" s="3" t="s">
        <v>24</v>
      </c>
    </row>
    <row r="106" spans="6:34" ht="15.75">
      <c r="G106" s="10">
        <f t="shared" si="13"/>
        <v>20</v>
      </c>
      <c r="H106" s="10">
        <f>(1.3*(Table16[[#This Row],[Sample Description]]-2)+20.3)</f>
        <v>43.7</v>
      </c>
      <c r="I106" s="10">
        <f>(0.16*(Table16[[#This Row],[Sample Description]]-2)+2.55)</f>
        <v>5.43</v>
      </c>
      <c r="O106" s="10">
        <f t="shared" si="10"/>
        <v>20</v>
      </c>
      <c r="P106" s="10">
        <f>(0.3*(Table1_37[[#This Row],[Sample Description]]-1)+21.7)</f>
        <v>27.4</v>
      </c>
      <c r="Q106" s="10">
        <f>(0.04*(Table1_37[[#This Row],[Sample Description]]-1)+2.76)</f>
        <v>3.5199999999999996</v>
      </c>
      <c r="W106" s="10">
        <f t="shared" si="11"/>
        <v>20</v>
      </c>
      <c r="X106" s="10">
        <f>(0.6*(Table1_348[[#This Row],[Sample Description]]-2)+26.5)</f>
        <v>37.299999999999997</v>
      </c>
      <c r="Y106" s="10">
        <f>(0.08*(Table1_348[[#This Row],[Sample Description]]-2)+3.37)</f>
        <v>4.8100000000000005</v>
      </c>
      <c r="AE106" s="10">
        <f t="shared" si="12"/>
        <v>20</v>
      </c>
      <c r="AF106" s="3" t="s">
        <v>24</v>
      </c>
      <c r="AG106" s="3" t="s">
        <v>24</v>
      </c>
    </row>
    <row r="107" spans="6:34" ht="15.75">
      <c r="F107" s="3"/>
      <c r="G107" s="3">
        <v>1</v>
      </c>
      <c r="H107" s="3">
        <v>21.8</v>
      </c>
      <c r="I107" s="3">
        <v>2.77</v>
      </c>
      <c r="J107" s="3"/>
      <c r="N107" s="3"/>
      <c r="O107" s="3">
        <v>1</v>
      </c>
      <c r="P107" s="5">
        <v>20.100000000000001</v>
      </c>
      <c r="Q107" s="5">
        <v>2.56</v>
      </c>
      <c r="R107" s="5"/>
      <c r="V107" s="3"/>
      <c r="W107" s="3">
        <v>1</v>
      </c>
      <c r="X107" s="5">
        <v>15.9</v>
      </c>
      <c r="Y107" s="5">
        <v>2.02</v>
      </c>
      <c r="Z107" s="3"/>
      <c r="AD107" s="3"/>
      <c r="AE107" s="3">
        <v>1</v>
      </c>
      <c r="AF107" s="3" t="s">
        <v>24</v>
      </c>
      <c r="AG107" s="3" t="s">
        <v>24</v>
      </c>
      <c r="AH107" s="3"/>
    </row>
    <row r="108" spans="6:34" ht="15.75">
      <c r="F108" s="3"/>
      <c r="G108" s="3">
        <v>2</v>
      </c>
      <c r="H108" s="3">
        <v>22.5</v>
      </c>
      <c r="I108" s="3">
        <v>2.86</v>
      </c>
      <c r="J108" s="3"/>
      <c r="N108" s="3"/>
      <c r="O108" s="3">
        <v>2</v>
      </c>
      <c r="P108" s="5">
        <v>14.9</v>
      </c>
      <c r="Q108" s="5">
        <v>1.9</v>
      </c>
      <c r="R108" s="5"/>
      <c r="V108" s="3"/>
      <c r="W108" s="3">
        <v>2</v>
      </c>
      <c r="X108" s="5">
        <v>20.100000000000001</v>
      </c>
      <c r="Y108" s="5">
        <v>2.56</v>
      </c>
      <c r="Z108" s="3"/>
      <c r="AD108" s="3"/>
      <c r="AE108" s="3">
        <v>2</v>
      </c>
      <c r="AF108" s="3" t="s">
        <v>24</v>
      </c>
      <c r="AG108" s="3" t="s">
        <v>24</v>
      </c>
      <c r="AH108" s="3"/>
    </row>
    <row r="109" spans="6:34" ht="15.75">
      <c r="F109" s="3"/>
      <c r="G109" s="3">
        <v>3</v>
      </c>
      <c r="H109" s="3">
        <v>19.5</v>
      </c>
      <c r="I109" s="3">
        <v>2.48</v>
      </c>
      <c r="J109" s="3"/>
      <c r="N109" s="3"/>
      <c r="O109" s="3">
        <v>3</v>
      </c>
      <c r="P109" s="5">
        <v>19.899999999999999</v>
      </c>
      <c r="Q109" s="5">
        <v>2.48</v>
      </c>
      <c r="R109" s="5"/>
      <c r="V109" s="3"/>
      <c r="W109" s="3">
        <v>3</v>
      </c>
      <c r="X109" s="5">
        <v>19.5</v>
      </c>
      <c r="Y109" s="5">
        <v>2.48</v>
      </c>
      <c r="Z109" s="3"/>
      <c r="AD109" s="3"/>
      <c r="AE109" s="3">
        <v>3</v>
      </c>
      <c r="AF109" s="3" t="s">
        <v>24</v>
      </c>
      <c r="AG109" s="3" t="s">
        <v>24</v>
      </c>
      <c r="AH109" s="3"/>
    </row>
    <row r="110" spans="6:34" ht="15.75">
      <c r="G110" s="10">
        <f>G109+1</f>
        <v>4</v>
      </c>
      <c r="H110" s="10">
        <f>(0.7*(Table16[[#This Row],[Sample Description]]-1)+21.8)</f>
        <v>23.9</v>
      </c>
      <c r="I110" s="10">
        <f>(0.09*(Table16[[#This Row],[Sample Description]]-1)+2.77)</f>
        <v>3.04</v>
      </c>
      <c r="O110" s="10">
        <f t="shared" ref="O110:O126" si="14">O109+1</f>
        <v>4</v>
      </c>
      <c r="P110" s="10">
        <f>(-0.1*(Table1_37[[#This Row],[Sample Description]]-1)+20.1)</f>
        <v>19.8</v>
      </c>
      <c r="Q110" s="10">
        <f>(-0.04*(Table1_37[[#This Row],[Sample Description]]-1)+2.56)</f>
        <v>2.44</v>
      </c>
      <c r="W110" s="10">
        <f t="shared" ref="W110:W126" si="15">W109+1</f>
        <v>4</v>
      </c>
      <c r="X110" s="10">
        <f>(-0.6*(Table1_348[[#This Row],[Sample Description]]-2)+20.1)</f>
        <v>18.900000000000002</v>
      </c>
      <c r="Y110" s="10">
        <f>(-0.08*(Table1_348[[#This Row],[Sample Description]]-2)+2.56)</f>
        <v>2.4</v>
      </c>
      <c r="AE110" s="10">
        <f t="shared" ref="AE110:AE126" si="16">AE109+1</f>
        <v>4</v>
      </c>
      <c r="AF110" s="3" t="s">
        <v>24</v>
      </c>
      <c r="AG110" s="3" t="s">
        <v>24</v>
      </c>
    </row>
    <row r="111" spans="6:34" ht="15.75">
      <c r="G111" s="10">
        <f t="shared" ref="G111:G126" si="17">G110+1</f>
        <v>5</v>
      </c>
      <c r="H111" s="10">
        <f>(0.7*(Table16[[#This Row],[Sample Description]]-1)+21.8)</f>
        <v>24.6</v>
      </c>
      <c r="I111" s="10">
        <f>(0.09*(Table16[[#This Row],[Sample Description]]-1)+2.77)</f>
        <v>3.13</v>
      </c>
      <c r="O111" s="10">
        <f t="shared" si="14"/>
        <v>5</v>
      </c>
      <c r="P111" s="10">
        <f>(-0.1*(Table1_37[[#This Row],[Sample Description]]-1)+20.1)</f>
        <v>19.700000000000003</v>
      </c>
      <c r="Q111" s="10">
        <f>(-0.04*(Table1_37[[#This Row],[Sample Description]]-1)+2.56)</f>
        <v>2.4</v>
      </c>
      <c r="W111" s="10">
        <f t="shared" si="15"/>
        <v>5</v>
      </c>
      <c r="X111" s="10">
        <f>(-0.6*(Table1_348[[#This Row],[Sample Description]]-2)+20.1)</f>
        <v>18.3</v>
      </c>
      <c r="Y111" s="10">
        <f>(-0.08*(Table1_348[[#This Row],[Sample Description]]-2)+2.56)</f>
        <v>2.3200000000000003</v>
      </c>
      <c r="AE111" s="10">
        <f t="shared" si="16"/>
        <v>5</v>
      </c>
      <c r="AF111" s="3" t="s">
        <v>24</v>
      </c>
      <c r="AG111" s="3" t="s">
        <v>24</v>
      </c>
    </row>
    <row r="112" spans="6:34" ht="15.75">
      <c r="G112" s="10">
        <f t="shared" si="17"/>
        <v>6</v>
      </c>
      <c r="H112" s="10">
        <f>(0.7*(Table16[[#This Row],[Sample Description]]-1)+21.8)</f>
        <v>25.3</v>
      </c>
      <c r="I112" s="10">
        <f>(0.09*(Table16[[#This Row],[Sample Description]]-1)+2.77)</f>
        <v>3.2199999999999998</v>
      </c>
      <c r="O112" s="10">
        <f t="shared" si="14"/>
        <v>6</v>
      </c>
      <c r="P112" s="10">
        <f>(-0.1*(Table1_37[[#This Row],[Sample Description]]-1)+20.1)</f>
        <v>19.600000000000001</v>
      </c>
      <c r="Q112" s="10">
        <f>(-0.04*(Table1_37[[#This Row],[Sample Description]]-1)+2.56)</f>
        <v>2.36</v>
      </c>
      <c r="W112" s="10">
        <f t="shared" si="15"/>
        <v>6</v>
      </c>
      <c r="X112" s="10">
        <f>(-0.6*(Table1_348[[#This Row],[Sample Description]]-2)+20.1)</f>
        <v>17.700000000000003</v>
      </c>
      <c r="Y112" s="10">
        <f>(-0.08*(Table1_348[[#This Row],[Sample Description]]-2)+2.56)</f>
        <v>2.2400000000000002</v>
      </c>
      <c r="AE112" s="10">
        <f t="shared" si="16"/>
        <v>6</v>
      </c>
      <c r="AF112" s="3" t="s">
        <v>24</v>
      </c>
      <c r="AG112" s="3" t="s">
        <v>24</v>
      </c>
    </row>
    <row r="113" spans="6:34" ht="15.75">
      <c r="G113" s="10">
        <f t="shared" si="17"/>
        <v>7</v>
      </c>
      <c r="H113" s="10">
        <f>(0.7*(Table16[[#This Row],[Sample Description]]-1)+21.8)</f>
        <v>26</v>
      </c>
      <c r="I113" s="10">
        <f>(0.09*(Table16[[#This Row],[Sample Description]]-1)+2.77)</f>
        <v>3.31</v>
      </c>
      <c r="O113" s="10">
        <f t="shared" si="14"/>
        <v>7</v>
      </c>
      <c r="P113" s="10">
        <f>(-0.1*(Table1_37[[#This Row],[Sample Description]]-1)+20.1)</f>
        <v>19.5</v>
      </c>
      <c r="Q113" s="10">
        <f>(-0.04*(Table1_37[[#This Row],[Sample Description]]-1)+2.56)</f>
        <v>2.3200000000000003</v>
      </c>
      <c r="W113" s="10">
        <f t="shared" si="15"/>
        <v>7</v>
      </c>
      <c r="X113" s="10">
        <f>(-0.6*(Table1_348[[#This Row],[Sample Description]]-2)+20.1)</f>
        <v>17.100000000000001</v>
      </c>
      <c r="Y113" s="10">
        <f>(-0.08*(Table1_348[[#This Row],[Sample Description]]-2)+2.56)</f>
        <v>2.16</v>
      </c>
      <c r="AE113" s="10">
        <f t="shared" si="16"/>
        <v>7</v>
      </c>
      <c r="AF113" s="3" t="s">
        <v>24</v>
      </c>
      <c r="AG113" s="3" t="s">
        <v>24</v>
      </c>
    </row>
    <row r="114" spans="6:34" ht="15.75">
      <c r="G114" s="10">
        <f t="shared" si="17"/>
        <v>8</v>
      </c>
      <c r="H114" s="10">
        <f>(0.7*(Table16[[#This Row],[Sample Description]]-1)+21.8)</f>
        <v>26.7</v>
      </c>
      <c r="I114" s="10">
        <f>(0.09*(Table16[[#This Row],[Sample Description]]-1)+2.77)</f>
        <v>3.4</v>
      </c>
      <c r="O114" s="10">
        <f t="shared" si="14"/>
        <v>8</v>
      </c>
      <c r="P114" s="10">
        <f>(-0.1*(Table1_37[[#This Row],[Sample Description]]-1)+20.1)</f>
        <v>19.400000000000002</v>
      </c>
      <c r="Q114" s="10">
        <f>(-0.04*(Table1_37[[#This Row],[Sample Description]]-1)+2.56)</f>
        <v>2.2800000000000002</v>
      </c>
      <c r="W114" s="10">
        <f t="shared" si="15"/>
        <v>8</v>
      </c>
      <c r="X114" s="10">
        <f>(-0.6*(Table1_348[[#This Row],[Sample Description]]-2)+20.1)</f>
        <v>16.5</v>
      </c>
      <c r="Y114" s="10">
        <f>(-0.08*(Table1_348[[#This Row],[Sample Description]]-2)+2.56)</f>
        <v>2.08</v>
      </c>
      <c r="AE114" s="10">
        <f t="shared" si="16"/>
        <v>8</v>
      </c>
      <c r="AF114" s="3" t="s">
        <v>24</v>
      </c>
      <c r="AG114" s="3" t="s">
        <v>24</v>
      </c>
    </row>
    <row r="115" spans="6:34" ht="15.75">
      <c r="G115" s="10">
        <f t="shared" si="17"/>
        <v>9</v>
      </c>
      <c r="H115" s="10">
        <f>(0.7*(Table16[[#This Row],[Sample Description]]-1)+21.8)</f>
        <v>27.4</v>
      </c>
      <c r="I115" s="10">
        <f>(0.09*(Table16[[#This Row],[Sample Description]]-1)+2.77)</f>
        <v>3.49</v>
      </c>
      <c r="O115" s="10">
        <f t="shared" si="14"/>
        <v>9</v>
      </c>
      <c r="P115" s="10">
        <f>(-0.1*(Table1_37[[#This Row],[Sample Description]]-1)+20.1)</f>
        <v>19.3</v>
      </c>
      <c r="Q115" s="10">
        <f>(-0.04*(Table1_37[[#This Row],[Sample Description]]-1)+2.56)</f>
        <v>2.2400000000000002</v>
      </c>
      <c r="W115" s="10">
        <f t="shared" si="15"/>
        <v>9</v>
      </c>
      <c r="X115" s="10">
        <f>(-0.6*(Table1_348[[#This Row],[Sample Description]]-2)+20.1)</f>
        <v>15.900000000000002</v>
      </c>
      <c r="Y115" s="10">
        <f>(-0.08*(Table1_348[[#This Row],[Sample Description]]-2)+2.56)</f>
        <v>2</v>
      </c>
      <c r="AE115" s="10">
        <f t="shared" si="16"/>
        <v>9</v>
      </c>
      <c r="AF115" s="3" t="s">
        <v>24</v>
      </c>
      <c r="AG115" s="3" t="s">
        <v>24</v>
      </c>
    </row>
    <row r="116" spans="6:34" ht="15.75">
      <c r="F116" s="10" t="s">
        <v>15</v>
      </c>
      <c r="G116" s="10">
        <f t="shared" si="17"/>
        <v>10</v>
      </c>
      <c r="H116" s="10">
        <f>(0.7*(Table16[[#This Row],[Sample Description]]-1)+21.8)</f>
        <v>28.1</v>
      </c>
      <c r="I116" s="10">
        <f>(0.09*(Table16[[#This Row],[Sample Description]]-1)+2.77)</f>
        <v>3.58</v>
      </c>
      <c r="J116">
        <f>(SUM(I107:I126))/20</f>
        <v>3.6014999999999993</v>
      </c>
      <c r="N116" s="10" t="s">
        <v>15</v>
      </c>
      <c r="O116" s="10">
        <f t="shared" si="14"/>
        <v>10</v>
      </c>
      <c r="P116" s="10">
        <f>(-0.1*(Table1_37[[#This Row],[Sample Description]]-1)+20.1)</f>
        <v>19.200000000000003</v>
      </c>
      <c r="Q116" s="10">
        <f>(-0.04*(Table1_37[[#This Row],[Sample Description]]-1)+2.56)</f>
        <v>2.2000000000000002</v>
      </c>
      <c r="R116">
        <f>(SUM(Q107:Q126)/20)</f>
        <v>2.1490000000000005</v>
      </c>
      <c r="V116" s="10" t="s">
        <v>15</v>
      </c>
      <c r="W116" s="10">
        <f t="shared" si="15"/>
        <v>10</v>
      </c>
      <c r="X116" s="10">
        <f>(-0.6*(Table1_348[[#This Row],[Sample Description]]-2)+20.1)</f>
        <v>15.3</v>
      </c>
      <c r="Y116" s="10">
        <f>(-0.08*(Table1_348[[#This Row],[Sample Description]]-2)+2.56)</f>
        <v>1.92</v>
      </c>
      <c r="Z116">
        <f>(SUM(Y107:Y126)/20)</f>
        <v>1.8490000000000002</v>
      </c>
      <c r="AD116" s="10" t="s">
        <v>15</v>
      </c>
      <c r="AE116" s="10">
        <f t="shared" si="16"/>
        <v>10</v>
      </c>
      <c r="AF116" s="3" t="s">
        <v>24</v>
      </c>
      <c r="AG116" s="3" t="s">
        <v>24</v>
      </c>
      <c r="AH116" s="10" t="s">
        <v>24</v>
      </c>
    </row>
    <row r="117" spans="6:34" ht="15.75">
      <c r="G117" s="10">
        <f t="shared" si="17"/>
        <v>11</v>
      </c>
      <c r="H117" s="10">
        <f>(0.7*(Table16[[#This Row],[Sample Description]]-1)+21.8)</f>
        <v>28.8</v>
      </c>
      <c r="I117" s="10">
        <f>(0.09*(Table16[[#This Row],[Sample Description]]-1)+2.77)</f>
        <v>3.67</v>
      </c>
      <c r="O117" s="10">
        <f t="shared" si="14"/>
        <v>11</v>
      </c>
      <c r="P117" s="10">
        <f>(-0.1*(Table1_37[[#This Row],[Sample Description]]-1)+20.1)</f>
        <v>19.100000000000001</v>
      </c>
      <c r="Q117" s="10">
        <f>(-0.04*(Table1_37[[#This Row],[Sample Description]]-1)+2.56)</f>
        <v>2.16</v>
      </c>
      <c r="W117" s="10">
        <f t="shared" si="15"/>
        <v>11</v>
      </c>
      <c r="X117" s="10">
        <f>(-0.6*(Table1_348[[#This Row],[Sample Description]]-2)+20.1)</f>
        <v>14.700000000000003</v>
      </c>
      <c r="Y117" s="10">
        <f>(-0.08*(Table1_348[[#This Row],[Sample Description]]-2)+2.56)</f>
        <v>1.84</v>
      </c>
      <c r="AE117" s="10">
        <f t="shared" si="16"/>
        <v>11</v>
      </c>
      <c r="AF117" s="3" t="s">
        <v>24</v>
      </c>
      <c r="AG117" s="3" t="s">
        <v>24</v>
      </c>
    </row>
    <row r="118" spans="6:34" ht="15.75">
      <c r="G118" s="10">
        <f t="shared" si="17"/>
        <v>12</v>
      </c>
      <c r="H118" s="10">
        <f>(0.7*(Table16[[#This Row],[Sample Description]]-1)+21.8)</f>
        <v>29.5</v>
      </c>
      <c r="I118" s="10">
        <f>(0.09*(Table16[[#This Row],[Sample Description]]-1)+2.77)</f>
        <v>3.76</v>
      </c>
      <c r="O118" s="10">
        <f t="shared" si="14"/>
        <v>12</v>
      </c>
      <c r="P118" s="10">
        <f>(-0.1*(Table1_37[[#This Row],[Sample Description]]-1)+20.1)</f>
        <v>19</v>
      </c>
      <c r="Q118" s="10">
        <f>(-0.04*(Table1_37[[#This Row],[Sample Description]]-1)+2.56)</f>
        <v>2.12</v>
      </c>
      <c r="W118" s="10">
        <f t="shared" si="15"/>
        <v>12</v>
      </c>
      <c r="X118" s="10">
        <f>(-0.6*(Table1_348[[#This Row],[Sample Description]]-2)+20.1)</f>
        <v>14.100000000000001</v>
      </c>
      <c r="Y118" s="10">
        <f>(-0.08*(Table1_348[[#This Row],[Sample Description]]-2)+2.56)</f>
        <v>1.76</v>
      </c>
      <c r="AE118" s="10">
        <f t="shared" si="16"/>
        <v>12</v>
      </c>
      <c r="AF118" s="3" t="s">
        <v>24</v>
      </c>
      <c r="AG118" s="3" t="s">
        <v>24</v>
      </c>
    </row>
    <row r="119" spans="6:34" ht="15.75">
      <c r="G119" s="10">
        <f t="shared" si="17"/>
        <v>13</v>
      </c>
      <c r="H119" s="10">
        <f>(0.7*(Table16[[#This Row],[Sample Description]]-1)+21.8)</f>
        <v>30.2</v>
      </c>
      <c r="I119" s="10">
        <f>(0.09*(Table16[[#This Row],[Sample Description]]-1)+2.77)</f>
        <v>3.85</v>
      </c>
      <c r="O119" s="10">
        <f t="shared" si="14"/>
        <v>13</v>
      </c>
      <c r="P119" s="10">
        <f>(-0.1*(Table1_37[[#This Row],[Sample Description]]-1)+20.1)</f>
        <v>18.900000000000002</v>
      </c>
      <c r="Q119" s="10">
        <f>(-0.04*(Table1_37[[#This Row],[Sample Description]]-1)+2.56)</f>
        <v>2.08</v>
      </c>
      <c r="W119" s="10">
        <f t="shared" si="15"/>
        <v>13</v>
      </c>
      <c r="X119" s="10">
        <f>(-0.6*(Table1_348[[#This Row],[Sample Description]]-2)+20.1)</f>
        <v>13.500000000000002</v>
      </c>
      <c r="Y119" s="10">
        <f>(-0.08*(Table1_348[[#This Row],[Sample Description]]-2)+2.56)</f>
        <v>1.6800000000000002</v>
      </c>
      <c r="AE119" s="10">
        <f t="shared" si="16"/>
        <v>13</v>
      </c>
      <c r="AF119" s="3" t="s">
        <v>24</v>
      </c>
      <c r="AG119" s="3" t="s">
        <v>24</v>
      </c>
    </row>
    <row r="120" spans="6:34" ht="15.75">
      <c r="G120" s="10">
        <f t="shared" si="17"/>
        <v>14</v>
      </c>
      <c r="H120" s="10">
        <f>(0.7*(Table16[[#This Row],[Sample Description]]-1)+21.8)</f>
        <v>30.9</v>
      </c>
      <c r="I120" s="10">
        <f>(0.09*(Table16[[#This Row],[Sample Description]]-1)+2.77)</f>
        <v>3.94</v>
      </c>
      <c r="O120" s="10">
        <f t="shared" si="14"/>
        <v>14</v>
      </c>
      <c r="P120" s="10">
        <f>(-0.1*(Table1_37[[#This Row],[Sample Description]]-1)+20.1)</f>
        <v>18.8</v>
      </c>
      <c r="Q120" s="10">
        <f>(-0.04*(Table1_37[[#This Row],[Sample Description]]-1)+2.56)</f>
        <v>2.04</v>
      </c>
      <c r="W120" s="10">
        <f t="shared" si="15"/>
        <v>14</v>
      </c>
      <c r="X120" s="10">
        <f>(-0.6*(Table1_348[[#This Row],[Sample Description]]-2)+20.1)</f>
        <v>12.900000000000002</v>
      </c>
      <c r="Y120" s="10">
        <f>(-0.08*(Table1_348[[#This Row],[Sample Description]]-2)+2.56)</f>
        <v>1.6</v>
      </c>
      <c r="AE120" s="10">
        <f t="shared" si="16"/>
        <v>14</v>
      </c>
      <c r="AF120" s="3" t="s">
        <v>24</v>
      </c>
      <c r="AG120" s="3" t="s">
        <v>24</v>
      </c>
    </row>
    <row r="121" spans="6:34" ht="15.75">
      <c r="G121" s="10">
        <f t="shared" si="17"/>
        <v>15</v>
      </c>
      <c r="H121" s="10">
        <f>(0.7*(Table16[[#This Row],[Sample Description]]-1)+21.8)</f>
        <v>31.6</v>
      </c>
      <c r="I121" s="10">
        <f>(0.09*(Table16[[#This Row],[Sample Description]]-1)+2.77)</f>
        <v>4.03</v>
      </c>
      <c r="O121" s="10">
        <f t="shared" si="14"/>
        <v>15</v>
      </c>
      <c r="P121" s="10">
        <f>(-0.1*(Table1_37[[#This Row],[Sample Description]]-1)+20.1)</f>
        <v>18.700000000000003</v>
      </c>
      <c r="Q121" s="10">
        <f>(-0.04*(Table1_37[[#This Row],[Sample Description]]-1)+2.56)</f>
        <v>2</v>
      </c>
      <c r="W121" s="10">
        <f t="shared" si="15"/>
        <v>15</v>
      </c>
      <c r="X121" s="10">
        <f>(-0.6*(Table1_348[[#This Row],[Sample Description]]-2)+20.1)</f>
        <v>12.3</v>
      </c>
      <c r="Y121" s="10">
        <f>(-0.08*(Table1_348[[#This Row],[Sample Description]]-2)+2.56)</f>
        <v>1.52</v>
      </c>
      <c r="AE121" s="10">
        <f t="shared" si="16"/>
        <v>15</v>
      </c>
      <c r="AF121" s="3" t="s">
        <v>24</v>
      </c>
      <c r="AG121" s="3" t="s">
        <v>24</v>
      </c>
    </row>
    <row r="122" spans="6:34" ht="15.75">
      <c r="G122" s="10">
        <f t="shared" si="17"/>
        <v>16</v>
      </c>
      <c r="H122" s="10">
        <f>(0.7*(Table16[[#This Row],[Sample Description]]-1)+21.8)</f>
        <v>32.299999999999997</v>
      </c>
      <c r="I122" s="10">
        <f>(0.09*(Table16[[#This Row],[Sample Description]]-1)+2.77)</f>
        <v>4.12</v>
      </c>
      <c r="O122" s="10">
        <f t="shared" si="14"/>
        <v>16</v>
      </c>
      <c r="P122" s="10">
        <f>(-0.1*(Table1_37[[#This Row],[Sample Description]]-1)+20.1)</f>
        <v>18.600000000000001</v>
      </c>
      <c r="Q122" s="10">
        <f>(-0.04*(Table1_37[[#This Row],[Sample Description]]-1)+2.56)</f>
        <v>1.96</v>
      </c>
      <c r="W122" s="10">
        <f t="shared" si="15"/>
        <v>16</v>
      </c>
      <c r="X122" s="10">
        <f>(-0.6*(Table1_348[[#This Row],[Sample Description]]-2)+20.1)</f>
        <v>11.700000000000001</v>
      </c>
      <c r="Y122" s="10">
        <f>(-0.08*(Table1_348[[#This Row],[Sample Description]]-2)+2.56)</f>
        <v>1.44</v>
      </c>
      <c r="AE122" s="10">
        <f t="shared" si="16"/>
        <v>16</v>
      </c>
      <c r="AF122" s="3" t="s">
        <v>24</v>
      </c>
      <c r="AG122" s="3" t="s">
        <v>24</v>
      </c>
    </row>
    <row r="123" spans="6:34" ht="15.75">
      <c r="G123" s="10">
        <f t="shared" si="17"/>
        <v>17</v>
      </c>
      <c r="H123" s="10">
        <f>(0.7*(Table16[[#This Row],[Sample Description]]-1)+21.8)</f>
        <v>33</v>
      </c>
      <c r="I123" s="10">
        <f>(0.09*(Table16[[#This Row],[Sample Description]]-1)+2.77)</f>
        <v>4.21</v>
      </c>
      <c r="O123" s="10">
        <f t="shared" si="14"/>
        <v>17</v>
      </c>
      <c r="P123" s="10">
        <f>(-0.1*(Table1_37[[#This Row],[Sample Description]]-1)+20.1)</f>
        <v>18.5</v>
      </c>
      <c r="Q123" s="10">
        <f>(-0.04*(Table1_37[[#This Row],[Sample Description]]-1)+2.56)</f>
        <v>1.92</v>
      </c>
      <c r="W123" s="10">
        <f t="shared" si="15"/>
        <v>17</v>
      </c>
      <c r="X123" s="10">
        <f>(-0.6*(Table1_348[[#This Row],[Sample Description]]-2)+20.1)</f>
        <v>11.100000000000001</v>
      </c>
      <c r="Y123" s="10">
        <f>(-0.08*(Table1_348[[#This Row],[Sample Description]]-2)+2.56)</f>
        <v>1.36</v>
      </c>
      <c r="AE123" s="10">
        <f t="shared" si="16"/>
        <v>17</v>
      </c>
      <c r="AF123" s="3" t="s">
        <v>24</v>
      </c>
      <c r="AG123" s="3" t="s">
        <v>24</v>
      </c>
    </row>
    <row r="124" spans="6:34" ht="15.75">
      <c r="G124" s="10">
        <f t="shared" si="17"/>
        <v>18</v>
      </c>
      <c r="H124" s="10">
        <f>(0.7*(Table16[[#This Row],[Sample Description]]-1)+21.8)</f>
        <v>33.700000000000003</v>
      </c>
      <c r="I124" s="10">
        <f>(0.09*(Table16[[#This Row],[Sample Description]]-1)+2.77)</f>
        <v>4.3</v>
      </c>
      <c r="O124" s="10">
        <f t="shared" si="14"/>
        <v>18</v>
      </c>
      <c r="P124" s="10">
        <f>(-0.1*(Table1_37[[#This Row],[Sample Description]]-1)+20.1)</f>
        <v>18.400000000000002</v>
      </c>
      <c r="Q124" s="10">
        <f>(-0.04*(Table1_37[[#This Row],[Sample Description]]-1)+2.56)</f>
        <v>1.88</v>
      </c>
      <c r="W124" s="10">
        <f t="shared" si="15"/>
        <v>18</v>
      </c>
      <c r="X124" s="10">
        <f>(-0.6*(Table1_348[[#This Row],[Sample Description]]-2)+20.1)</f>
        <v>10.500000000000002</v>
      </c>
      <c r="Y124" s="10">
        <f>(-0.08*(Table1_348[[#This Row],[Sample Description]]-2)+2.56)</f>
        <v>1.28</v>
      </c>
      <c r="AE124" s="10">
        <f t="shared" si="16"/>
        <v>18</v>
      </c>
      <c r="AF124" s="3" t="s">
        <v>24</v>
      </c>
      <c r="AG124" s="3" t="s">
        <v>24</v>
      </c>
    </row>
    <row r="125" spans="6:34" ht="15.75">
      <c r="G125" s="10">
        <f t="shared" si="17"/>
        <v>19</v>
      </c>
      <c r="H125" s="10">
        <f>(0.7*(Table16[[#This Row],[Sample Description]]-1)+21.8)</f>
        <v>34.4</v>
      </c>
      <c r="I125" s="10">
        <f>(0.09*(Table16[[#This Row],[Sample Description]]-1)+2.77)</f>
        <v>4.3899999999999997</v>
      </c>
      <c r="O125" s="10">
        <f t="shared" si="14"/>
        <v>19</v>
      </c>
      <c r="P125" s="10">
        <f>(-0.1*(Table1_37[[#This Row],[Sample Description]]-1)+20.1)</f>
        <v>18.3</v>
      </c>
      <c r="Q125" s="10">
        <f>(-0.04*(Table1_37[[#This Row],[Sample Description]]-1)+2.56)</f>
        <v>1.84</v>
      </c>
      <c r="W125" s="10">
        <f t="shared" si="15"/>
        <v>19</v>
      </c>
      <c r="X125" s="10">
        <f>(-0.6*(Table1_348[[#This Row],[Sample Description]]-2)+20.1)</f>
        <v>9.9000000000000021</v>
      </c>
      <c r="Y125" s="10">
        <f>(-0.08*(Table1_348[[#This Row],[Sample Description]]-2)+2.56)</f>
        <v>1.2</v>
      </c>
      <c r="AE125" s="10">
        <f t="shared" si="16"/>
        <v>19</v>
      </c>
      <c r="AF125" s="3" t="s">
        <v>24</v>
      </c>
      <c r="AG125" s="3" t="s">
        <v>24</v>
      </c>
    </row>
    <row r="126" spans="6:34" ht="15.75">
      <c r="G126" s="10">
        <f t="shared" si="17"/>
        <v>20</v>
      </c>
      <c r="H126" s="10">
        <f>(0.7*(Table16[[#This Row],[Sample Description]]-1)+21.8)</f>
        <v>35.1</v>
      </c>
      <c r="I126" s="10">
        <f>(0.09*(Table16[[#This Row],[Sample Description]]-1)+2.77)</f>
        <v>4.4800000000000004</v>
      </c>
      <c r="O126" s="10">
        <f t="shared" si="14"/>
        <v>20</v>
      </c>
      <c r="P126" s="10">
        <f>(-0.1*(Table1_37[[#This Row],[Sample Description]]-1)+20.1)</f>
        <v>18.200000000000003</v>
      </c>
      <c r="Q126" s="10">
        <f>(-0.04*(Table1_37[[#This Row],[Sample Description]]-1)+2.56)</f>
        <v>1.8</v>
      </c>
      <c r="W126" s="10">
        <f t="shared" si="15"/>
        <v>20</v>
      </c>
      <c r="X126" s="10">
        <f>(-0.6*(Table1_348[[#This Row],[Sample Description]]-2)+20.1)</f>
        <v>9.3000000000000025</v>
      </c>
      <c r="Y126" s="10">
        <f>(-0.08*(Table1_348[[#This Row],[Sample Description]]-2)+2.56)</f>
        <v>1.1200000000000001</v>
      </c>
      <c r="AE126" s="10">
        <f t="shared" si="16"/>
        <v>20</v>
      </c>
      <c r="AF126" s="3" t="s">
        <v>24</v>
      </c>
      <c r="AG126" s="3" t="s">
        <v>24</v>
      </c>
    </row>
    <row r="127" spans="6:34" ht="15.75">
      <c r="F127" s="3"/>
      <c r="G127" s="3">
        <v>1</v>
      </c>
      <c r="H127" s="3">
        <v>24.3</v>
      </c>
      <c r="I127" s="3">
        <v>3.09</v>
      </c>
      <c r="J127" s="3"/>
      <c r="N127" s="3"/>
      <c r="O127" s="3">
        <v>1</v>
      </c>
      <c r="P127" s="5">
        <v>19.899999999999999</v>
      </c>
      <c r="Q127" s="5">
        <v>2.5299999999999998</v>
      </c>
      <c r="R127" s="5"/>
      <c r="V127" s="3"/>
      <c r="W127" s="3">
        <v>1</v>
      </c>
      <c r="X127" s="5">
        <v>25.2</v>
      </c>
      <c r="Y127" s="5">
        <v>3.21</v>
      </c>
      <c r="Z127" s="3"/>
      <c r="AD127" s="3"/>
      <c r="AE127" s="3">
        <v>1</v>
      </c>
      <c r="AF127" s="3" t="s">
        <v>24</v>
      </c>
      <c r="AG127" s="3" t="s">
        <v>24</v>
      </c>
      <c r="AH127" s="3"/>
    </row>
    <row r="128" spans="6:34" ht="15.75">
      <c r="F128" s="3"/>
      <c r="G128" s="3">
        <v>2</v>
      </c>
      <c r="H128" s="3">
        <v>22.8</v>
      </c>
      <c r="I128" s="3">
        <v>2.9</v>
      </c>
      <c r="J128" s="3"/>
      <c r="N128" s="3"/>
      <c r="O128" s="3">
        <v>2</v>
      </c>
      <c r="P128" s="5">
        <v>22.7</v>
      </c>
      <c r="Q128" s="5">
        <v>2.89</v>
      </c>
      <c r="R128" s="5"/>
      <c r="V128" s="3"/>
      <c r="W128" s="3">
        <v>2</v>
      </c>
      <c r="X128" s="5">
        <v>21.7</v>
      </c>
      <c r="Y128" s="5">
        <v>2.76</v>
      </c>
      <c r="Z128" s="3"/>
      <c r="AD128" s="3"/>
      <c r="AE128" s="3">
        <v>2</v>
      </c>
      <c r="AF128" s="3" t="s">
        <v>24</v>
      </c>
      <c r="AG128" s="3" t="s">
        <v>24</v>
      </c>
      <c r="AH128" s="3"/>
    </row>
    <row r="129" spans="6:34" ht="15.75">
      <c r="F129" s="3"/>
      <c r="G129" s="3">
        <v>3</v>
      </c>
      <c r="H129" s="3">
        <v>20.100000000000001</v>
      </c>
      <c r="I129" s="3">
        <v>2.56</v>
      </c>
      <c r="J129" s="3"/>
      <c r="N129" s="3"/>
      <c r="O129" s="3">
        <v>3</v>
      </c>
      <c r="P129" s="5">
        <v>21.6</v>
      </c>
      <c r="Q129" s="5">
        <v>2.75</v>
      </c>
      <c r="R129" s="5"/>
      <c r="V129" s="3"/>
      <c r="W129" s="3">
        <v>3</v>
      </c>
      <c r="X129" s="5">
        <v>28.1</v>
      </c>
      <c r="Y129" s="5">
        <v>3.58</v>
      </c>
      <c r="Z129" s="3"/>
      <c r="AD129" s="3"/>
      <c r="AE129" s="3">
        <v>3</v>
      </c>
      <c r="AF129" s="3" t="s">
        <v>24</v>
      </c>
      <c r="AG129" s="3" t="s">
        <v>24</v>
      </c>
      <c r="AH129" s="3"/>
    </row>
    <row r="130" spans="6:34" ht="15.75">
      <c r="G130" s="10">
        <f t="shared" ref="G130:G146" si="18">G129+1</f>
        <v>4</v>
      </c>
      <c r="H130" s="10">
        <f>(-1.5*(Table16[[#This Row],[Sample Description]]-1)+24.3)</f>
        <v>19.8</v>
      </c>
      <c r="I130" s="10">
        <f>(-0.19*(Table16[[#This Row],[Sample Description]]-1)+3.09)</f>
        <v>2.5199999999999996</v>
      </c>
      <c r="O130" s="10">
        <f t="shared" ref="O130:O146" si="19">O129+1</f>
        <v>4</v>
      </c>
      <c r="P130" s="10">
        <f>(-1.1*(Table1_37[[#This Row],[Sample Description]]-2)+22.7)</f>
        <v>20.5</v>
      </c>
      <c r="Q130" s="10">
        <f>(-0.14*(Table1_37[[#This Row],[Sample Description]]-2)+2.89)</f>
        <v>2.6100000000000003</v>
      </c>
      <c r="W130" s="10">
        <f t="shared" ref="W130:W146" si="20">W129+1</f>
        <v>4</v>
      </c>
      <c r="X130" s="10">
        <f>(1.45*(Table1_348[[#This Row],[Sample Description]]-1)+25.2)</f>
        <v>29.549999999999997</v>
      </c>
      <c r="Y130" s="10">
        <f>(0.19*(Table1_348[[#This Row],[Sample Description]]-1)+3.21)</f>
        <v>3.7800000000000002</v>
      </c>
      <c r="AE130" s="10">
        <f t="shared" ref="AE130:AE146" si="21">AE129+1</f>
        <v>4</v>
      </c>
      <c r="AF130" s="3" t="s">
        <v>24</v>
      </c>
      <c r="AG130" s="3" t="s">
        <v>24</v>
      </c>
    </row>
    <row r="131" spans="6:34" ht="15.75">
      <c r="G131" s="10">
        <f t="shared" si="18"/>
        <v>5</v>
      </c>
      <c r="H131" s="10">
        <f>(-1.5*(Table16[[#This Row],[Sample Description]]-1)+24.3)</f>
        <v>18.3</v>
      </c>
      <c r="I131" s="10">
        <f>(-0.19*(Table16[[#This Row],[Sample Description]]-1)+3.09)</f>
        <v>2.33</v>
      </c>
      <c r="O131" s="10">
        <f t="shared" si="19"/>
        <v>5</v>
      </c>
      <c r="P131" s="10">
        <f>(-1.1*(Table1_37[[#This Row],[Sample Description]]-2)+22.7)</f>
        <v>19.399999999999999</v>
      </c>
      <c r="Q131" s="10">
        <f>(-0.14*(Table1_37[[#This Row],[Sample Description]]-2)+2.89)</f>
        <v>2.4700000000000002</v>
      </c>
      <c r="W131" s="10">
        <f t="shared" si="20"/>
        <v>5</v>
      </c>
      <c r="X131" s="10">
        <f>(1.45*(Table1_348[[#This Row],[Sample Description]]-1)+25.2)</f>
        <v>31</v>
      </c>
      <c r="Y131" s="10">
        <f>(0.19*(Table1_348[[#This Row],[Sample Description]]-1)+3.21)</f>
        <v>3.9699999999999998</v>
      </c>
      <c r="AE131" s="10">
        <f t="shared" si="21"/>
        <v>5</v>
      </c>
      <c r="AF131" s="3" t="s">
        <v>24</v>
      </c>
      <c r="AG131" s="3" t="s">
        <v>24</v>
      </c>
    </row>
    <row r="132" spans="6:34" ht="15.75">
      <c r="G132" s="10">
        <f t="shared" si="18"/>
        <v>6</v>
      </c>
      <c r="H132" s="10">
        <f>(-1.5*(Table16[[#This Row],[Sample Description]]-1)+24.3)</f>
        <v>16.8</v>
      </c>
      <c r="I132" s="10">
        <f>(-0.19*(Table16[[#This Row],[Sample Description]]-1)+3.09)</f>
        <v>2.1399999999999997</v>
      </c>
      <c r="O132" s="10">
        <f t="shared" si="19"/>
        <v>6</v>
      </c>
      <c r="P132" s="10">
        <f>(-1.1*(Table1_37[[#This Row],[Sample Description]]-2)+22.7)</f>
        <v>18.299999999999997</v>
      </c>
      <c r="Q132" s="10">
        <f>(-0.14*(Table1_37[[#This Row],[Sample Description]]-2)+2.89)</f>
        <v>2.33</v>
      </c>
      <c r="W132" s="10">
        <f t="shared" si="20"/>
        <v>6</v>
      </c>
      <c r="X132" s="10">
        <f>(1.45*(Table1_348[[#This Row],[Sample Description]]-1)+25.2)</f>
        <v>32.450000000000003</v>
      </c>
      <c r="Y132" s="10">
        <f>(0.19*(Table1_348[[#This Row],[Sample Description]]-1)+3.21)</f>
        <v>4.16</v>
      </c>
      <c r="AE132" s="10">
        <f t="shared" si="21"/>
        <v>6</v>
      </c>
      <c r="AF132" s="3" t="s">
        <v>24</v>
      </c>
      <c r="AG132" s="3" t="s">
        <v>24</v>
      </c>
    </row>
    <row r="133" spans="6:34" ht="15.75">
      <c r="G133" s="10">
        <f t="shared" si="18"/>
        <v>7</v>
      </c>
      <c r="H133" s="10">
        <f>(-1.5*(Table16[[#This Row],[Sample Description]]-1)+24.3)</f>
        <v>15.3</v>
      </c>
      <c r="I133" s="10">
        <f>(-0.19*(Table16[[#This Row],[Sample Description]]-1)+3.09)</f>
        <v>1.9499999999999997</v>
      </c>
      <c r="O133" s="10">
        <f t="shared" si="19"/>
        <v>7</v>
      </c>
      <c r="P133" s="10">
        <f>(-1.1*(Table1_37[[#This Row],[Sample Description]]-2)+22.7)</f>
        <v>17.2</v>
      </c>
      <c r="Q133" s="10">
        <f>(-0.14*(Table1_37[[#This Row],[Sample Description]]-2)+2.89)</f>
        <v>2.19</v>
      </c>
      <c r="W133" s="10">
        <f t="shared" si="20"/>
        <v>7</v>
      </c>
      <c r="X133" s="10">
        <f>(1.45*(Table1_348[[#This Row],[Sample Description]]-1)+25.2)</f>
        <v>33.9</v>
      </c>
      <c r="Y133" s="10">
        <f>(0.19*(Table1_348[[#This Row],[Sample Description]]-1)+3.21)</f>
        <v>4.3499999999999996</v>
      </c>
      <c r="AE133" s="10">
        <f t="shared" si="21"/>
        <v>7</v>
      </c>
      <c r="AF133" s="3" t="s">
        <v>24</v>
      </c>
      <c r="AG133" s="3" t="s">
        <v>24</v>
      </c>
    </row>
    <row r="134" spans="6:34" ht="15.75">
      <c r="G134" s="10">
        <f t="shared" si="18"/>
        <v>8</v>
      </c>
      <c r="H134" s="10">
        <f>(-1.5*(Table16[[#This Row],[Sample Description]]-1)+24.3)</f>
        <v>13.8</v>
      </c>
      <c r="I134" s="10">
        <f>(-0.19*(Table16[[#This Row],[Sample Description]]-1)+3.09)</f>
        <v>1.7599999999999998</v>
      </c>
      <c r="O134" s="10">
        <f t="shared" si="19"/>
        <v>8</v>
      </c>
      <c r="P134" s="10">
        <f>(-1.1*(Table1_37[[#This Row],[Sample Description]]-2)+22.7)</f>
        <v>16.099999999999998</v>
      </c>
      <c r="Q134" s="10">
        <f>(-0.14*(Table1_37[[#This Row],[Sample Description]]-2)+2.89)</f>
        <v>2.0499999999999998</v>
      </c>
      <c r="W134" s="10">
        <f t="shared" si="20"/>
        <v>8</v>
      </c>
      <c r="X134" s="10">
        <f>(1.45*(Table1_348[[#This Row],[Sample Description]]-1)+25.2)</f>
        <v>35.35</v>
      </c>
      <c r="Y134" s="10">
        <f>(0.19*(Table1_348[[#This Row],[Sample Description]]-1)+3.21)</f>
        <v>4.54</v>
      </c>
      <c r="AE134" s="10">
        <f t="shared" si="21"/>
        <v>8</v>
      </c>
      <c r="AF134" s="3" t="s">
        <v>24</v>
      </c>
      <c r="AG134" s="3" t="s">
        <v>24</v>
      </c>
    </row>
    <row r="135" spans="6:34" ht="15.75">
      <c r="G135" s="10">
        <f t="shared" si="18"/>
        <v>9</v>
      </c>
      <c r="H135" s="10">
        <f>(-1.5*(Table16[[#This Row],[Sample Description]]-1)+24.3)</f>
        <v>12.3</v>
      </c>
      <c r="I135" s="10">
        <f>(-0.19*(Table16[[#This Row],[Sample Description]]-1)+3.09)</f>
        <v>1.5699999999999998</v>
      </c>
      <c r="O135" s="10">
        <f t="shared" si="19"/>
        <v>9</v>
      </c>
      <c r="P135" s="10">
        <f>(-1.1*(Table1_37[[#This Row],[Sample Description]]-2)+22.7)</f>
        <v>14.999999999999998</v>
      </c>
      <c r="Q135" s="10">
        <f>(-0.14*(Table1_37[[#This Row],[Sample Description]]-2)+2.89)</f>
        <v>1.9100000000000001</v>
      </c>
      <c r="W135" s="10">
        <f t="shared" si="20"/>
        <v>9</v>
      </c>
      <c r="X135" s="10">
        <f>(1.45*(Table1_348[[#This Row],[Sample Description]]-1)+25.2)</f>
        <v>36.799999999999997</v>
      </c>
      <c r="Y135" s="10">
        <f>(0.19*(Table1_348[[#This Row],[Sample Description]]-1)+3.21)</f>
        <v>4.7300000000000004</v>
      </c>
      <c r="AE135" s="10">
        <f t="shared" si="21"/>
        <v>9</v>
      </c>
      <c r="AF135" s="3" t="s">
        <v>24</v>
      </c>
      <c r="AG135" s="3" t="s">
        <v>24</v>
      </c>
    </row>
    <row r="136" spans="6:34" ht="15.75">
      <c r="F136" s="13" t="s">
        <v>16</v>
      </c>
      <c r="G136" s="10">
        <f t="shared" si="18"/>
        <v>10</v>
      </c>
      <c r="H136" s="10">
        <f>(-1.5*(Table16[[#This Row],[Sample Description]]-1)+24.3)</f>
        <v>10.8</v>
      </c>
      <c r="I136" s="10">
        <f>(-0.19*(Table16[[#This Row],[Sample Description]]-1)+3.09)</f>
        <v>1.38</v>
      </c>
      <c r="J136">
        <f>(SUM(I127:I146))/20</f>
        <v>1.2775000000000001</v>
      </c>
      <c r="N136" s="13" t="s">
        <v>16</v>
      </c>
      <c r="O136" s="10">
        <f t="shared" si="19"/>
        <v>10</v>
      </c>
      <c r="P136" s="10">
        <f>(-1.1*(Table1_37[[#This Row],[Sample Description]]-2)+22.7)</f>
        <v>13.899999999999999</v>
      </c>
      <c r="Q136" s="10">
        <f>(-0.14*(Table1_37[[#This Row],[Sample Description]]-2)+2.89)</f>
        <v>1.77</v>
      </c>
      <c r="R136">
        <f>(SUM(Q127:Q146)/20)</f>
        <v>1.675</v>
      </c>
      <c r="V136" s="13" t="s">
        <v>16</v>
      </c>
      <c r="W136" s="10">
        <f t="shared" si="20"/>
        <v>10</v>
      </c>
      <c r="X136" s="10">
        <f>(1.45*(Table1_348[[#This Row],[Sample Description]]-1)+25.2)</f>
        <v>38.25</v>
      </c>
      <c r="Y136" s="10">
        <f>(0.19*(Table1_348[[#This Row],[Sample Description]]-1)+3.21)</f>
        <v>4.92</v>
      </c>
      <c r="Z136">
        <f>(SUM(Y127:Y146)/20)</f>
        <v>4.9824999999999999</v>
      </c>
      <c r="AD136" s="13" t="s">
        <v>16</v>
      </c>
      <c r="AE136" s="10">
        <f t="shared" si="21"/>
        <v>10</v>
      </c>
      <c r="AF136" s="3" t="s">
        <v>24</v>
      </c>
      <c r="AG136" s="3" t="s">
        <v>24</v>
      </c>
      <c r="AH136" s="10" t="s">
        <v>24</v>
      </c>
    </row>
    <row r="137" spans="6:34" ht="15.75">
      <c r="G137" s="10">
        <f t="shared" si="18"/>
        <v>11</v>
      </c>
      <c r="H137" s="10">
        <f>(-1.5*(Table16[[#This Row],[Sample Description]]-1)+24.3)</f>
        <v>9.3000000000000007</v>
      </c>
      <c r="I137" s="10">
        <f>(-0.19*(Table16[[#This Row],[Sample Description]]-1)+3.09)</f>
        <v>1.19</v>
      </c>
      <c r="O137" s="10">
        <f t="shared" si="19"/>
        <v>11</v>
      </c>
      <c r="P137" s="10">
        <f>(-1.1*(Table1_37[[#This Row],[Sample Description]]-2)+22.7)</f>
        <v>12.799999999999999</v>
      </c>
      <c r="Q137" s="10">
        <f>(-0.14*(Table1_37[[#This Row],[Sample Description]]-2)+2.89)</f>
        <v>1.63</v>
      </c>
      <c r="W137" s="10">
        <f t="shared" si="20"/>
        <v>11</v>
      </c>
      <c r="X137" s="10">
        <f>(1.45*(Table1_348[[#This Row],[Sample Description]]-1)+25.2)</f>
        <v>39.700000000000003</v>
      </c>
      <c r="Y137" s="10">
        <f>(0.19*(Table1_348[[#This Row],[Sample Description]]-1)+3.21)</f>
        <v>5.1099999999999994</v>
      </c>
      <c r="AE137" s="10">
        <f t="shared" si="21"/>
        <v>11</v>
      </c>
      <c r="AF137" s="3" t="s">
        <v>24</v>
      </c>
      <c r="AG137" s="3" t="s">
        <v>24</v>
      </c>
    </row>
    <row r="138" spans="6:34" ht="15.75">
      <c r="G138" s="10">
        <f t="shared" si="18"/>
        <v>12</v>
      </c>
      <c r="H138" s="10">
        <f>(-1.5*(Table16[[#This Row],[Sample Description]]-1)+24.3)</f>
        <v>7.8000000000000007</v>
      </c>
      <c r="I138" s="10">
        <f>(-0.19*(Table16[[#This Row],[Sample Description]]-1)+3.09)</f>
        <v>1</v>
      </c>
      <c r="O138" s="10">
        <f t="shared" si="19"/>
        <v>12</v>
      </c>
      <c r="P138" s="10">
        <f>(-1.1*(Table1_37[[#This Row],[Sample Description]]-2)+22.7)</f>
        <v>11.7</v>
      </c>
      <c r="Q138" s="10">
        <f>(-0.14*(Table1_37[[#This Row],[Sample Description]]-2)+2.89)</f>
        <v>1.49</v>
      </c>
      <c r="W138" s="10">
        <f t="shared" si="20"/>
        <v>12</v>
      </c>
      <c r="X138" s="10">
        <f>(1.45*(Table1_348[[#This Row],[Sample Description]]-1)+25.2)</f>
        <v>41.15</v>
      </c>
      <c r="Y138" s="10">
        <f>(0.19*(Table1_348[[#This Row],[Sample Description]]-1)+3.21)</f>
        <v>5.3</v>
      </c>
      <c r="AE138" s="10">
        <f t="shared" si="21"/>
        <v>12</v>
      </c>
      <c r="AF138" s="3" t="s">
        <v>24</v>
      </c>
      <c r="AG138" s="3" t="s">
        <v>24</v>
      </c>
    </row>
    <row r="139" spans="6:34" ht="15.75">
      <c r="G139" s="10">
        <f t="shared" si="18"/>
        <v>13</v>
      </c>
      <c r="H139" s="10">
        <f>(-1.5*(Table16[[#This Row],[Sample Description]]-1)+24.3)</f>
        <v>6.3000000000000007</v>
      </c>
      <c r="I139" s="10">
        <f>(-0.19*(Table16[[#This Row],[Sample Description]]-1)+3.09)</f>
        <v>0.80999999999999961</v>
      </c>
      <c r="O139" s="10">
        <f t="shared" si="19"/>
        <v>13</v>
      </c>
      <c r="P139" s="10">
        <f>(-1.1*(Table1_37[[#This Row],[Sample Description]]-2)+22.7)</f>
        <v>10.599999999999998</v>
      </c>
      <c r="Q139" s="10">
        <f>(-0.14*(Table1_37[[#This Row],[Sample Description]]-2)+2.89)</f>
        <v>1.35</v>
      </c>
      <c r="W139" s="10">
        <f t="shared" si="20"/>
        <v>13</v>
      </c>
      <c r="X139" s="10">
        <f>(1.45*(Table1_348[[#This Row],[Sample Description]]-1)+25.2)</f>
        <v>42.599999999999994</v>
      </c>
      <c r="Y139" s="10">
        <f>(0.19*(Table1_348[[#This Row],[Sample Description]]-1)+3.21)</f>
        <v>5.49</v>
      </c>
      <c r="AE139" s="10">
        <f t="shared" si="21"/>
        <v>13</v>
      </c>
      <c r="AF139" s="3" t="s">
        <v>24</v>
      </c>
      <c r="AG139" s="3" t="s">
        <v>24</v>
      </c>
    </row>
    <row r="140" spans="6:34" ht="15.75">
      <c r="G140" s="10">
        <f t="shared" si="18"/>
        <v>14</v>
      </c>
      <c r="H140" s="10">
        <f>(-1.5*(Table16[[#This Row],[Sample Description]]-1)+24.3)</f>
        <v>4.8000000000000007</v>
      </c>
      <c r="I140" s="10">
        <f>(-0.19*(Table16[[#This Row],[Sample Description]]-1)+3.09)</f>
        <v>0.61999999999999966</v>
      </c>
      <c r="O140" s="10">
        <f t="shared" si="19"/>
        <v>14</v>
      </c>
      <c r="P140" s="10">
        <f>(-1.1*(Table1_37[[#This Row],[Sample Description]]-2)+22.7)</f>
        <v>9.4999999999999982</v>
      </c>
      <c r="Q140" s="10">
        <f>(-0.14*(Table1_37[[#This Row],[Sample Description]]-2)+2.89)</f>
        <v>1.21</v>
      </c>
      <c r="W140" s="10">
        <f t="shared" si="20"/>
        <v>14</v>
      </c>
      <c r="X140" s="10">
        <f>(1.45*(Table1_348[[#This Row],[Sample Description]]-1)+25.2)</f>
        <v>44.05</v>
      </c>
      <c r="Y140" s="10">
        <f>(0.19*(Table1_348[[#This Row],[Sample Description]]-1)+3.21)</f>
        <v>5.68</v>
      </c>
      <c r="AE140" s="10">
        <f t="shared" si="21"/>
        <v>14</v>
      </c>
      <c r="AF140" s="3" t="s">
        <v>24</v>
      </c>
      <c r="AG140" s="3" t="s">
        <v>24</v>
      </c>
    </row>
    <row r="141" spans="6:34" ht="15.75">
      <c r="G141" s="10">
        <f t="shared" si="18"/>
        <v>15</v>
      </c>
      <c r="H141" s="10">
        <f>(-1.5*(Table16[[#This Row],[Sample Description]]-1)+24.3)</f>
        <v>3.3000000000000007</v>
      </c>
      <c r="I141" s="10">
        <f>(-0.19*(Table16[[#This Row],[Sample Description]]-1)+3.09)</f>
        <v>0.42999999999999972</v>
      </c>
      <c r="O141" s="10">
        <f t="shared" si="19"/>
        <v>15</v>
      </c>
      <c r="P141" s="10">
        <f>(-1.1*(Table1_37[[#This Row],[Sample Description]]-2)+22.7)</f>
        <v>8.3999999999999986</v>
      </c>
      <c r="Q141" s="10">
        <f>(-0.14*(Table1_37[[#This Row],[Sample Description]]-2)+2.89)</f>
        <v>1.0699999999999998</v>
      </c>
      <c r="W141" s="10">
        <f t="shared" si="20"/>
        <v>15</v>
      </c>
      <c r="X141" s="10">
        <f>(1.45*(Table1_348[[#This Row],[Sample Description]]-1)+25.2)</f>
        <v>45.5</v>
      </c>
      <c r="Y141" s="10">
        <f>(0.19*(Table1_348[[#This Row],[Sample Description]]-1)+3.21)</f>
        <v>5.87</v>
      </c>
      <c r="AE141" s="10">
        <f t="shared" si="21"/>
        <v>15</v>
      </c>
      <c r="AF141" s="3" t="s">
        <v>24</v>
      </c>
      <c r="AG141" s="3" t="s">
        <v>24</v>
      </c>
    </row>
    <row r="142" spans="6:34" ht="15.75">
      <c r="G142" s="10">
        <f t="shared" si="18"/>
        <v>16</v>
      </c>
      <c r="H142" s="10">
        <f>(-1.5*(Table16[[#This Row],[Sample Description]]-1)+24.3)</f>
        <v>1.8000000000000007</v>
      </c>
      <c r="I142" s="10">
        <f>(-0.19*(Table16[[#This Row],[Sample Description]]-1)+3.09)</f>
        <v>0.23999999999999977</v>
      </c>
      <c r="O142" s="10">
        <f t="shared" si="19"/>
        <v>16</v>
      </c>
      <c r="P142" s="10">
        <f>(-1.1*(Table1_37[[#This Row],[Sample Description]]-2)+22.7)</f>
        <v>7.2999999999999972</v>
      </c>
      <c r="Q142" s="10">
        <f>(-0.14*(Table1_37[[#This Row],[Sample Description]]-2)+2.89)</f>
        <v>0.92999999999999994</v>
      </c>
      <c r="W142" s="10">
        <f t="shared" si="20"/>
        <v>16</v>
      </c>
      <c r="X142" s="10">
        <f>(1.45*(Table1_348[[#This Row],[Sample Description]]-1)+25.2)</f>
        <v>46.95</v>
      </c>
      <c r="Y142" s="10">
        <f>(0.19*(Table1_348[[#This Row],[Sample Description]]-1)+3.21)</f>
        <v>6.0600000000000005</v>
      </c>
      <c r="AE142" s="10">
        <f t="shared" si="21"/>
        <v>16</v>
      </c>
      <c r="AF142" s="3" t="s">
        <v>24</v>
      </c>
      <c r="AG142" s="3" t="s">
        <v>24</v>
      </c>
    </row>
    <row r="143" spans="6:34" ht="15.75">
      <c r="G143" s="10">
        <f t="shared" si="18"/>
        <v>17</v>
      </c>
      <c r="H143" s="10">
        <f>(-1.5*(Table16[[#This Row],[Sample Description]]-1)+24.3)</f>
        <v>0.30000000000000071</v>
      </c>
      <c r="I143" s="10">
        <f>(-0.19*(Table16[[#This Row],[Sample Description]]-1)+3.09)</f>
        <v>4.9999999999999822E-2</v>
      </c>
      <c r="O143" s="10">
        <f t="shared" si="19"/>
        <v>17</v>
      </c>
      <c r="P143" s="10">
        <f>(-1.1*(Table1_37[[#This Row],[Sample Description]]-2)+22.7)</f>
        <v>6.1999999999999993</v>
      </c>
      <c r="Q143" s="10">
        <f>(-0.14*(Table1_37[[#This Row],[Sample Description]]-2)+2.89)</f>
        <v>0.79</v>
      </c>
      <c r="W143" s="10">
        <f t="shared" si="20"/>
        <v>17</v>
      </c>
      <c r="X143" s="10">
        <f>(1.45*(Table1_348[[#This Row],[Sample Description]]-1)+25.2)</f>
        <v>48.4</v>
      </c>
      <c r="Y143" s="10">
        <f>(0.19*(Table1_348[[#This Row],[Sample Description]]-1)+3.21)</f>
        <v>6.25</v>
      </c>
      <c r="AE143" s="10">
        <f t="shared" si="21"/>
        <v>17</v>
      </c>
      <c r="AF143" s="3" t="s">
        <v>24</v>
      </c>
      <c r="AG143" s="3" t="s">
        <v>24</v>
      </c>
    </row>
    <row r="144" spans="6:34" ht="15.75">
      <c r="G144" s="10">
        <f t="shared" si="18"/>
        <v>18</v>
      </c>
      <c r="H144" s="10">
        <f>(-1.5*(Table16[[#This Row],[Sample Description]]-1)+24.3)</f>
        <v>-1.1999999999999993</v>
      </c>
      <c r="I144" s="10">
        <f>(-0.19*(Table16[[#This Row],[Sample Description]]-1)+3.09)</f>
        <v>-0.14000000000000012</v>
      </c>
      <c r="O144" s="10">
        <f t="shared" si="19"/>
        <v>18</v>
      </c>
      <c r="P144" s="10">
        <f>(-1.1*(Table1_37[[#This Row],[Sample Description]]-2)+22.7)</f>
        <v>5.0999999999999979</v>
      </c>
      <c r="Q144" s="10">
        <f>(-0.14*(Table1_37[[#This Row],[Sample Description]]-2)+2.89)</f>
        <v>0.64999999999999991</v>
      </c>
      <c r="W144" s="10">
        <f t="shared" si="20"/>
        <v>18</v>
      </c>
      <c r="X144" s="10">
        <f>(1.45*(Table1_348[[#This Row],[Sample Description]]-1)+25.2)</f>
        <v>49.849999999999994</v>
      </c>
      <c r="Y144" s="10">
        <f>(0.19*(Table1_348[[#This Row],[Sample Description]]-1)+3.21)</f>
        <v>6.4399999999999995</v>
      </c>
      <c r="AE144" s="10">
        <f t="shared" si="21"/>
        <v>18</v>
      </c>
      <c r="AF144" s="3" t="s">
        <v>24</v>
      </c>
      <c r="AG144" s="3" t="s">
        <v>24</v>
      </c>
    </row>
    <row r="145" spans="6:34" ht="15.75">
      <c r="G145" s="10">
        <f t="shared" si="18"/>
        <v>19</v>
      </c>
      <c r="H145" s="10">
        <f>(-1.5*(Table16[[#This Row],[Sample Description]]-1)+24.3)</f>
        <v>-2.6999999999999993</v>
      </c>
      <c r="I145" s="10">
        <f>(-0.19*(Table16[[#This Row],[Sample Description]]-1)+3.09)</f>
        <v>-0.33000000000000007</v>
      </c>
      <c r="O145" s="10">
        <f t="shared" si="19"/>
        <v>19</v>
      </c>
      <c r="P145" s="10">
        <f>(-1.1*(Table1_37[[#This Row],[Sample Description]]-2)+22.7)</f>
        <v>3.9999999999999964</v>
      </c>
      <c r="Q145" s="10">
        <f>(-0.14*(Table1_37[[#This Row],[Sample Description]]-2)+2.89)</f>
        <v>0.50999999999999979</v>
      </c>
      <c r="W145" s="10">
        <f t="shared" si="20"/>
        <v>19</v>
      </c>
      <c r="X145" s="10">
        <f>(1.45*(Table1_348[[#This Row],[Sample Description]]-1)+25.2)</f>
        <v>51.3</v>
      </c>
      <c r="Y145" s="10">
        <f>(0.19*(Table1_348[[#This Row],[Sample Description]]-1)+3.21)</f>
        <v>6.63</v>
      </c>
      <c r="AE145" s="10">
        <f t="shared" si="21"/>
        <v>19</v>
      </c>
      <c r="AF145" s="3" t="s">
        <v>24</v>
      </c>
      <c r="AG145" s="3" t="s">
        <v>24</v>
      </c>
    </row>
    <row r="146" spans="6:34" ht="15.75">
      <c r="G146" s="10">
        <f t="shared" si="18"/>
        <v>20</v>
      </c>
      <c r="H146" s="10">
        <f>(-1.5*(Table16[[#This Row],[Sample Description]]-1)+24.3)</f>
        <v>-4.1999999999999993</v>
      </c>
      <c r="I146" s="10">
        <f>(-0.19*(Table16[[#This Row],[Sample Description]]-1)+3.09)</f>
        <v>-0.52</v>
      </c>
      <c r="O146" s="10">
        <f t="shared" si="19"/>
        <v>20</v>
      </c>
      <c r="P146" s="10">
        <f>(-1.1*(Table1_37[[#This Row],[Sample Description]]-2)+22.7)</f>
        <v>2.8999999999999986</v>
      </c>
      <c r="Q146" s="10">
        <f>(-0.14*(Table1_37[[#This Row],[Sample Description]]-2)+2.89)</f>
        <v>0.36999999999999966</v>
      </c>
      <c r="W146" s="10">
        <f t="shared" si="20"/>
        <v>20</v>
      </c>
      <c r="X146" s="10">
        <f>(1.45*(Table1_348[[#This Row],[Sample Description]]-1)+25.2)</f>
        <v>52.75</v>
      </c>
      <c r="Y146" s="10">
        <f>(0.19*(Table1_348[[#This Row],[Sample Description]]-1)+3.21)</f>
        <v>6.82</v>
      </c>
      <c r="AE146" s="10">
        <f t="shared" si="21"/>
        <v>20</v>
      </c>
      <c r="AF146" s="3" t="s">
        <v>24</v>
      </c>
      <c r="AG146" s="3" t="s">
        <v>24</v>
      </c>
    </row>
    <row r="147" spans="6:34" ht="15.75">
      <c r="F147" s="3"/>
      <c r="G147" s="3">
        <v>1</v>
      </c>
      <c r="H147" s="3">
        <v>18.899999999999999</v>
      </c>
      <c r="I147" s="3">
        <v>2.41</v>
      </c>
      <c r="J147" s="3"/>
      <c r="N147" s="3"/>
      <c r="O147" s="3">
        <v>1</v>
      </c>
      <c r="P147" s="5">
        <v>21.4</v>
      </c>
      <c r="Q147" s="5">
        <v>2.72</v>
      </c>
      <c r="R147" s="5"/>
      <c r="V147" s="3"/>
      <c r="W147" s="3">
        <v>1</v>
      </c>
      <c r="X147" s="5">
        <v>18.899999999999999</v>
      </c>
      <c r="Y147" s="5">
        <v>2.41</v>
      </c>
      <c r="Z147" s="3"/>
      <c r="AD147" s="3"/>
      <c r="AE147" s="3">
        <v>1</v>
      </c>
      <c r="AF147" s="3" t="s">
        <v>24</v>
      </c>
      <c r="AG147" s="3" t="s">
        <v>24</v>
      </c>
      <c r="AH147" s="3"/>
    </row>
    <row r="148" spans="6:34" ht="15.75">
      <c r="F148" s="3"/>
      <c r="G148" s="3">
        <v>2</v>
      </c>
      <c r="H148" s="3">
        <v>20.7</v>
      </c>
      <c r="I148" s="3">
        <v>2.63</v>
      </c>
      <c r="J148" s="3"/>
      <c r="N148" s="3"/>
      <c r="O148" s="3">
        <v>2</v>
      </c>
      <c r="P148" s="5">
        <v>21.7</v>
      </c>
      <c r="Q148" s="5">
        <v>2.76</v>
      </c>
      <c r="R148" s="5"/>
      <c r="V148" s="3"/>
      <c r="W148" s="3">
        <v>2</v>
      </c>
      <c r="X148" s="5">
        <v>21.5</v>
      </c>
      <c r="Y148" s="5">
        <v>2.74</v>
      </c>
      <c r="Z148" s="3"/>
      <c r="AD148" s="3"/>
      <c r="AE148" s="3">
        <v>2</v>
      </c>
      <c r="AF148" s="3" t="s">
        <v>24</v>
      </c>
      <c r="AG148" s="3" t="s">
        <v>24</v>
      </c>
      <c r="AH148" s="3"/>
    </row>
    <row r="149" spans="6:34" ht="15.75">
      <c r="F149" s="3"/>
      <c r="G149" s="3">
        <v>3</v>
      </c>
      <c r="H149" s="3">
        <v>18.3</v>
      </c>
      <c r="I149" s="3">
        <v>2.33</v>
      </c>
      <c r="J149" s="3"/>
      <c r="N149" s="3"/>
      <c r="O149" s="3">
        <v>3</v>
      </c>
      <c r="P149" s="5">
        <v>22.9</v>
      </c>
      <c r="Q149" s="5">
        <v>2.91</v>
      </c>
      <c r="R149" s="5"/>
      <c r="V149" s="3"/>
      <c r="W149" s="3">
        <v>3</v>
      </c>
      <c r="X149" s="5">
        <v>20.9</v>
      </c>
      <c r="Y149" s="5">
        <v>2.66</v>
      </c>
      <c r="Z149" s="3"/>
      <c r="AD149" s="3"/>
      <c r="AE149" s="3">
        <v>3</v>
      </c>
      <c r="AF149" s="3" t="s">
        <v>24</v>
      </c>
      <c r="AG149" s="3" t="s">
        <v>24</v>
      </c>
      <c r="AH149" s="3"/>
    </row>
    <row r="150" spans="6:34" ht="15.75">
      <c r="G150" s="10">
        <f>G149+1</f>
        <v>4</v>
      </c>
      <c r="H150" s="10">
        <f>(-0.3*(Table16[[#This Row],[Sample Description]]-1)+18.9)</f>
        <v>18</v>
      </c>
      <c r="I150" s="10">
        <f>(-0.04*(Table16[[#This Row],[Sample Description]]-1)+2.41)</f>
        <v>2.29</v>
      </c>
      <c r="O150" s="10">
        <f t="shared" ref="O150:O166" si="22">O149+1</f>
        <v>4</v>
      </c>
      <c r="P150">
        <f>(0.3*(Table1_37[[#This Row],[Sample Description]]-1)+21.4)</f>
        <v>22.299999999999997</v>
      </c>
      <c r="Q150" s="10">
        <f>(0.04*(Table1_37[[#This Row],[Sample Description]]-1)+2.72)</f>
        <v>2.8400000000000003</v>
      </c>
      <c r="W150" s="10">
        <f t="shared" ref="W150:W166" si="23">W149+1</f>
        <v>4</v>
      </c>
      <c r="X150" s="10">
        <f>(-0.6*(Table1_37[[#This Row],[Sample Description]]-2)+21.5)</f>
        <v>20.3</v>
      </c>
      <c r="Y150" s="10">
        <f>(-0.08*(Table1_37[[#This Row],[Sample Description]]-2)+2.74)</f>
        <v>2.58</v>
      </c>
      <c r="AE150" s="10">
        <f t="shared" ref="AE150:AE166" si="24">AE149+1</f>
        <v>4</v>
      </c>
      <c r="AF150" s="3" t="s">
        <v>24</v>
      </c>
      <c r="AG150" s="3" t="s">
        <v>24</v>
      </c>
    </row>
    <row r="151" spans="6:34" ht="15.75">
      <c r="G151" s="10">
        <f t="shared" ref="G151:G166" si="25">G150+1</f>
        <v>5</v>
      </c>
      <c r="H151" s="10">
        <f>(-0.3*(Table16[[#This Row],[Sample Description]]-1)+18.9)</f>
        <v>17.7</v>
      </c>
      <c r="I151" s="10">
        <f>(-0.04*(Table16[[#This Row],[Sample Description]]-1)+2.41)</f>
        <v>2.25</v>
      </c>
      <c r="O151" s="10">
        <f t="shared" si="22"/>
        <v>5</v>
      </c>
      <c r="P151">
        <f>(0.3*(Table1_37[[#This Row],[Sample Description]]-1)+21.4)</f>
        <v>22.599999999999998</v>
      </c>
      <c r="Q151" s="10">
        <f>(0.04*(Table1_37[[#This Row],[Sample Description]]-1)+2.72)</f>
        <v>2.8800000000000003</v>
      </c>
      <c r="W151" s="10">
        <f t="shared" si="23"/>
        <v>5</v>
      </c>
      <c r="X151" s="10">
        <f>(-0.6*(Table1_37[[#This Row],[Sample Description]]-2)+21.5)</f>
        <v>19.7</v>
      </c>
      <c r="Y151" s="10">
        <f>(-0.08*(Table1_37[[#This Row],[Sample Description]]-2)+2.74)</f>
        <v>2.5</v>
      </c>
      <c r="AE151" s="10">
        <f t="shared" si="24"/>
        <v>5</v>
      </c>
      <c r="AF151" s="3" t="s">
        <v>24</v>
      </c>
      <c r="AG151" s="3" t="s">
        <v>24</v>
      </c>
    </row>
    <row r="152" spans="6:34" ht="15.75">
      <c r="G152" s="10">
        <f t="shared" si="25"/>
        <v>6</v>
      </c>
      <c r="H152" s="10">
        <f>(-0.3*(Table16[[#This Row],[Sample Description]]-1)+18.9)</f>
        <v>17.399999999999999</v>
      </c>
      <c r="I152" s="10">
        <f>(-0.04*(Table16[[#This Row],[Sample Description]]-1)+2.41)</f>
        <v>2.21</v>
      </c>
      <c r="O152" s="10">
        <f t="shared" si="22"/>
        <v>6</v>
      </c>
      <c r="P152">
        <f>(0.3*(Table1_37[[#This Row],[Sample Description]]-1)+21.4)</f>
        <v>22.9</v>
      </c>
      <c r="Q152" s="10">
        <f>(0.04*(Table1_37[[#This Row],[Sample Description]]-1)+2.72)</f>
        <v>2.9200000000000004</v>
      </c>
      <c r="W152" s="10">
        <f t="shared" si="23"/>
        <v>6</v>
      </c>
      <c r="X152" s="10">
        <f>(-0.6*(Table1_37[[#This Row],[Sample Description]]-2)+21.5)</f>
        <v>19.100000000000001</v>
      </c>
      <c r="Y152" s="10">
        <f>(-0.08*(Table1_37[[#This Row],[Sample Description]]-2)+2.74)</f>
        <v>2.4200000000000004</v>
      </c>
      <c r="AE152" s="10">
        <f t="shared" si="24"/>
        <v>6</v>
      </c>
      <c r="AF152" s="3" t="s">
        <v>24</v>
      </c>
      <c r="AG152" s="3" t="s">
        <v>24</v>
      </c>
    </row>
    <row r="153" spans="6:34" ht="15.75">
      <c r="G153" s="10">
        <f t="shared" si="25"/>
        <v>7</v>
      </c>
      <c r="H153" s="10">
        <f>(-0.3*(Table16[[#This Row],[Sample Description]]-1)+18.9)</f>
        <v>17.099999999999998</v>
      </c>
      <c r="I153" s="10">
        <f>(-0.04*(Table16[[#This Row],[Sample Description]]-1)+2.41)</f>
        <v>2.17</v>
      </c>
      <c r="O153" s="10">
        <f t="shared" si="22"/>
        <v>7</v>
      </c>
      <c r="P153">
        <f>(0.3*(Table1_37[[#This Row],[Sample Description]]-1)+21.4)</f>
        <v>23.2</v>
      </c>
      <c r="Q153" s="10">
        <f>(0.04*(Table1_37[[#This Row],[Sample Description]]-1)+2.72)</f>
        <v>2.96</v>
      </c>
      <c r="W153" s="10">
        <f t="shared" si="23"/>
        <v>7</v>
      </c>
      <c r="X153" s="10">
        <f>(-0.6*(Table1_37[[#This Row],[Sample Description]]-2)+21.5)</f>
        <v>18.5</v>
      </c>
      <c r="Y153" s="10">
        <f>(-0.08*(Table1_37[[#This Row],[Sample Description]]-2)+2.74)</f>
        <v>2.3400000000000003</v>
      </c>
      <c r="AE153" s="10">
        <f t="shared" si="24"/>
        <v>7</v>
      </c>
      <c r="AF153" s="3" t="s">
        <v>24</v>
      </c>
      <c r="AG153" s="3" t="s">
        <v>24</v>
      </c>
    </row>
    <row r="154" spans="6:34" ht="15.75">
      <c r="G154" s="10">
        <f t="shared" si="25"/>
        <v>8</v>
      </c>
      <c r="H154" s="10">
        <f>(-0.3*(Table16[[#This Row],[Sample Description]]-1)+18.9)</f>
        <v>16.799999999999997</v>
      </c>
      <c r="I154" s="10">
        <f>(-0.04*(Table16[[#This Row],[Sample Description]]-1)+2.41)</f>
        <v>2.13</v>
      </c>
      <c r="O154" s="10">
        <f t="shared" si="22"/>
        <v>8</v>
      </c>
      <c r="P154">
        <f>(0.3*(Table1_37[[#This Row],[Sample Description]]-1)+21.4)</f>
        <v>23.5</v>
      </c>
      <c r="Q154" s="10">
        <f>(0.04*(Table1_37[[#This Row],[Sample Description]]-1)+2.72)</f>
        <v>3</v>
      </c>
      <c r="W154" s="10">
        <f t="shared" si="23"/>
        <v>8</v>
      </c>
      <c r="X154" s="10">
        <f>(-0.6*(Table1_37[[#This Row],[Sample Description]]-2)+21.5)</f>
        <v>17.899999999999999</v>
      </c>
      <c r="Y154" s="10">
        <f>(-0.08*(Table1_37[[#This Row],[Sample Description]]-2)+2.74)</f>
        <v>2.2600000000000002</v>
      </c>
      <c r="AE154" s="10">
        <f t="shared" si="24"/>
        <v>8</v>
      </c>
      <c r="AF154" s="3" t="s">
        <v>24</v>
      </c>
      <c r="AG154" s="3" t="s">
        <v>24</v>
      </c>
    </row>
    <row r="155" spans="6:34" ht="15.75">
      <c r="G155" s="10">
        <f t="shared" si="25"/>
        <v>9</v>
      </c>
      <c r="H155" s="10">
        <f>(-0.3*(Table16[[#This Row],[Sample Description]]-1)+18.9)</f>
        <v>16.5</v>
      </c>
      <c r="I155" s="10">
        <f>(-0.04*(Table16[[#This Row],[Sample Description]]-1)+2.41)</f>
        <v>2.0900000000000003</v>
      </c>
      <c r="O155" s="10">
        <f t="shared" si="22"/>
        <v>9</v>
      </c>
      <c r="P155">
        <f>(0.3*(Table1_37[[#This Row],[Sample Description]]-1)+21.4)</f>
        <v>23.799999999999997</v>
      </c>
      <c r="Q155" s="10">
        <f>(0.04*(Table1_37[[#This Row],[Sample Description]]-1)+2.72)</f>
        <v>3.04</v>
      </c>
      <c r="W155" s="10">
        <f t="shared" si="23"/>
        <v>9</v>
      </c>
      <c r="X155" s="10">
        <f>(-0.6*(Table1_37[[#This Row],[Sample Description]]-2)+21.5)</f>
        <v>17.3</v>
      </c>
      <c r="Y155" s="10">
        <f>(-0.08*(Table1_37[[#This Row],[Sample Description]]-2)+2.74)</f>
        <v>2.1800000000000002</v>
      </c>
      <c r="AE155" s="10">
        <f t="shared" si="24"/>
        <v>9</v>
      </c>
      <c r="AF155" s="3" t="s">
        <v>24</v>
      </c>
      <c r="AG155" s="3" t="s">
        <v>24</v>
      </c>
    </row>
    <row r="156" spans="6:34" ht="15.75">
      <c r="F156" s="10" t="s">
        <v>17</v>
      </c>
      <c r="G156" s="10">
        <f t="shared" si="25"/>
        <v>10</v>
      </c>
      <c r="H156" s="10">
        <f>(-0.3*(Table16[[#This Row],[Sample Description]]-1)+18.9)</f>
        <v>16.2</v>
      </c>
      <c r="I156" s="10">
        <f>(-0.04*(Table16[[#This Row],[Sample Description]]-1)+2.41)</f>
        <v>2.0500000000000003</v>
      </c>
      <c r="J156">
        <f>(SUM(I147:I166))/20</f>
        <v>2.0430000000000001</v>
      </c>
      <c r="N156" s="10" t="s">
        <v>17</v>
      </c>
      <c r="O156" s="10">
        <f t="shared" si="22"/>
        <v>10</v>
      </c>
      <c r="P156">
        <f>(0.3*(Table1_37[[#This Row],[Sample Description]]-1)+21.4)</f>
        <v>24.099999999999998</v>
      </c>
      <c r="Q156" s="10">
        <f>(0.04*(Table1_37[[#This Row],[Sample Description]]-1)+2.72)</f>
        <v>3.08</v>
      </c>
      <c r="V156" s="10" t="s">
        <v>17</v>
      </c>
      <c r="W156" s="10">
        <f t="shared" si="23"/>
        <v>10</v>
      </c>
      <c r="X156" s="10">
        <f>(-0.6*(Table1_37[[#This Row],[Sample Description]]-2)+21.5)</f>
        <v>16.7</v>
      </c>
      <c r="Y156" s="10">
        <f>(-0.08*(Table1_37[[#This Row],[Sample Description]]-2)+2.74)</f>
        <v>2.1</v>
      </c>
      <c r="Z156">
        <f>(SUM(Y147:Y166)/20)</f>
        <v>2.0395000000000003</v>
      </c>
      <c r="AD156" s="10" t="s">
        <v>17</v>
      </c>
      <c r="AE156" s="10">
        <f t="shared" si="24"/>
        <v>10</v>
      </c>
      <c r="AF156" s="3" t="s">
        <v>24</v>
      </c>
      <c r="AG156" s="3" t="s">
        <v>24</v>
      </c>
      <c r="AH156" s="10" t="s">
        <v>24</v>
      </c>
    </row>
    <row r="157" spans="6:34" ht="15.75">
      <c r="G157" s="10">
        <f t="shared" si="25"/>
        <v>11</v>
      </c>
      <c r="H157" s="10">
        <f>(-0.3*(Table16[[#This Row],[Sample Description]]-1)+18.9)</f>
        <v>15.899999999999999</v>
      </c>
      <c r="I157" s="10">
        <f>(-0.04*(Table16[[#This Row],[Sample Description]]-1)+2.41)</f>
        <v>2.0100000000000002</v>
      </c>
      <c r="O157" s="10">
        <f t="shared" si="22"/>
        <v>11</v>
      </c>
      <c r="P157">
        <f>(0.3*(Table1_37[[#This Row],[Sample Description]]-1)+21.4)</f>
        <v>24.4</v>
      </c>
      <c r="Q157" s="10">
        <f>(0.04*(Table1_37[[#This Row],[Sample Description]]-1)+2.72)</f>
        <v>3.12</v>
      </c>
      <c r="W157" s="10">
        <f t="shared" si="23"/>
        <v>11</v>
      </c>
      <c r="X157" s="10">
        <f>(-0.6*(Table1_37[[#This Row],[Sample Description]]-2)+21.5)</f>
        <v>16.100000000000001</v>
      </c>
      <c r="Y157" s="10">
        <f>(-0.08*(Table1_37[[#This Row],[Sample Description]]-2)+2.74)</f>
        <v>2.0200000000000005</v>
      </c>
      <c r="AE157" s="10">
        <f t="shared" si="24"/>
        <v>11</v>
      </c>
      <c r="AF157" s="3" t="s">
        <v>24</v>
      </c>
      <c r="AG157" s="3" t="s">
        <v>24</v>
      </c>
    </row>
    <row r="158" spans="6:34" ht="15.75">
      <c r="G158" s="10">
        <f t="shared" si="25"/>
        <v>12</v>
      </c>
      <c r="H158" s="10">
        <f>(-0.3*(Table16[[#This Row],[Sample Description]]-1)+18.9)</f>
        <v>15.599999999999998</v>
      </c>
      <c r="I158" s="10">
        <f>(-0.04*(Table16[[#This Row],[Sample Description]]-1)+2.41)</f>
        <v>1.9700000000000002</v>
      </c>
      <c r="O158" s="10">
        <f t="shared" si="22"/>
        <v>12</v>
      </c>
      <c r="P158">
        <f>(0.3*(Table1_37[[#This Row],[Sample Description]]-1)+21.4)</f>
        <v>24.7</v>
      </c>
      <c r="Q158" s="10">
        <f>(0.04*(Table1_37[[#This Row],[Sample Description]]-1)+2.72)</f>
        <v>3.16</v>
      </c>
      <c r="W158" s="10">
        <f t="shared" si="23"/>
        <v>12</v>
      </c>
      <c r="X158" s="10">
        <f>(-0.6*(Table1_37[[#This Row],[Sample Description]]-2)+21.5)</f>
        <v>15.5</v>
      </c>
      <c r="Y158" s="10">
        <f>(-0.08*(Table1_37[[#This Row],[Sample Description]]-2)+2.74)</f>
        <v>1.9400000000000002</v>
      </c>
      <c r="AE158" s="10">
        <f t="shared" si="24"/>
        <v>12</v>
      </c>
      <c r="AF158" s="3" t="s">
        <v>24</v>
      </c>
      <c r="AG158" s="3" t="s">
        <v>24</v>
      </c>
    </row>
    <row r="159" spans="6:34" ht="15.75">
      <c r="G159" s="10">
        <f t="shared" si="25"/>
        <v>13</v>
      </c>
      <c r="H159" s="10">
        <f>(-0.3*(Table16[[#This Row],[Sample Description]]-1)+18.9)</f>
        <v>15.299999999999999</v>
      </c>
      <c r="I159" s="10">
        <f>(-0.04*(Table16[[#This Row],[Sample Description]]-1)+2.41)</f>
        <v>1.9300000000000002</v>
      </c>
      <c r="O159" s="10">
        <f t="shared" si="22"/>
        <v>13</v>
      </c>
      <c r="P159">
        <f>(0.3*(Table1_37[[#This Row],[Sample Description]]-1)+21.4)</f>
        <v>25</v>
      </c>
      <c r="Q159" s="10">
        <f>(0.04*(Table1_37[[#This Row],[Sample Description]]-1)+2.72)</f>
        <v>3.2</v>
      </c>
      <c r="W159" s="10">
        <f t="shared" si="23"/>
        <v>13</v>
      </c>
      <c r="X159" s="10">
        <f>(-0.6*(Table1_37[[#This Row],[Sample Description]]-2)+21.5)</f>
        <v>14.9</v>
      </c>
      <c r="Y159" s="10">
        <f>(-0.08*(Table1_37[[#This Row],[Sample Description]]-2)+2.74)</f>
        <v>1.8600000000000003</v>
      </c>
      <c r="AE159" s="10">
        <f t="shared" si="24"/>
        <v>13</v>
      </c>
      <c r="AF159" s="3" t="s">
        <v>24</v>
      </c>
      <c r="AG159" s="3" t="s">
        <v>24</v>
      </c>
    </row>
    <row r="160" spans="6:34" ht="15.75">
      <c r="G160" s="10">
        <f t="shared" si="25"/>
        <v>14</v>
      </c>
      <c r="H160" s="10">
        <f>(-0.3*(Table16[[#This Row],[Sample Description]]-1)+18.9)</f>
        <v>14.999999999999998</v>
      </c>
      <c r="I160" s="10">
        <f>(-0.04*(Table16[[#This Row],[Sample Description]]-1)+2.41)</f>
        <v>1.8900000000000001</v>
      </c>
      <c r="O160" s="10">
        <f t="shared" si="22"/>
        <v>14</v>
      </c>
      <c r="P160">
        <f>(0.3*(Table1_37[[#This Row],[Sample Description]]-1)+21.4)</f>
        <v>25.299999999999997</v>
      </c>
      <c r="Q160" s="10">
        <f>(0.04*(Table1_37[[#This Row],[Sample Description]]-1)+2.72)</f>
        <v>3.24</v>
      </c>
      <c r="W160" s="10">
        <f t="shared" si="23"/>
        <v>14</v>
      </c>
      <c r="X160" s="10">
        <f>(-0.6*(Table1_37[[#This Row],[Sample Description]]-2)+21.5)</f>
        <v>14.3</v>
      </c>
      <c r="Y160" s="10">
        <f>(-0.08*(Table1_37[[#This Row],[Sample Description]]-2)+2.74)</f>
        <v>1.7800000000000002</v>
      </c>
      <c r="AE160" s="10">
        <f t="shared" si="24"/>
        <v>14</v>
      </c>
      <c r="AF160" s="3" t="s">
        <v>24</v>
      </c>
      <c r="AG160" s="3" t="s">
        <v>24</v>
      </c>
    </row>
    <row r="161" spans="6:34" ht="15.75">
      <c r="G161" s="10">
        <f t="shared" si="25"/>
        <v>15</v>
      </c>
      <c r="H161" s="10">
        <f>(-0.3*(Table16[[#This Row],[Sample Description]]-1)+18.9)</f>
        <v>14.7</v>
      </c>
      <c r="I161" s="10">
        <f>(-0.04*(Table16[[#This Row],[Sample Description]]-1)+2.41)</f>
        <v>1.85</v>
      </c>
      <c r="O161" s="10">
        <f t="shared" si="22"/>
        <v>15</v>
      </c>
      <c r="P161">
        <f>(0.3*(Table1_37[[#This Row],[Sample Description]]-1)+21.4)</f>
        <v>25.599999999999998</v>
      </c>
      <c r="Q161" s="10">
        <f>(0.04*(Table1_37[[#This Row],[Sample Description]]-1)+2.72)</f>
        <v>3.2800000000000002</v>
      </c>
      <c r="W161" s="10">
        <f t="shared" si="23"/>
        <v>15</v>
      </c>
      <c r="X161" s="10">
        <f>(-0.6*(Table1_37[[#This Row],[Sample Description]]-2)+21.5)</f>
        <v>13.7</v>
      </c>
      <c r="Y161" s="10">
        <f>(-0.08*(Table1_37[[#This Row],[Sample Description]]-2)+2.74)</f>
        <v>1.7000000000000002</v>
      </c>
      <c r="AE161" s="10">
        <f t="shared" si="24"/>
        <v>15</v>
      </c>
      <c r="AF161" s="3" t="s">
        <v>24</v>
      </c>
      <c r="AG161" s="3" t="s">
        <v>24</v>
      </c>
    </row>
    <row r="162" spans="6:34" ht="15.75">
      <c r="G162" s="10">
        <f t="shared" si="25"/>
        <v>16</v>
      </c>
      <c r="H162" s="10">
        <f>(-0.3*(Table16[[#This Row],[Sample Description]]-1)+18.9)</f>
        <v>14.399999999999999</v>
      </c>
      <c r="I162" s="10">
        <f>(-0.04*(Table16[[#This Row],[Sample Description]]-1)+2.41)</f>
        <v>1.81</v>
      </c>
      <c r="O162" s="10">
        <f t="shared" si="22"/>
        <v>16</v>
      </c>
      <c r="P162">
        <f>(0.3*(Table1_37[[#This Row],[Sample Description]]-1)+21.4)</f>
        <v>25.9</v>
      </c>
      <c r="Q162" s="10">
        <f>(0.04*(Table1_37[[#This Row],[Sample Description]]-1)+2.72)</f>
        <v>3.3200000000000003</v>
      </c>
      <c r="W162" s="10">
        <f t="shared" si="23"/>
        <v>16</v>
      </c>
      <c r="X162" s="10">
        <f>(-0.6*(Table1_37[[#This Row],[Sample Description]]-2)+21.5)</f>
        <v>13.1</v>
      </c>
      <c r="Y162" s="10">
        <f>(-0.08*(Table1_37[[#This Row],[Sample Description]]-2)+2.74)</f>
        <v>1.62</v>
      </c>
      <c r="AE162" s="10">
        <f t="shared" si="24"/>
        <v>16</v>
      </c>
      <c r="AF162" s="3" t="s">
        <v>24</v>
      </c>
      <c r="AG162" s="3" t="s">
        <v>24</v>
      </c>
    </row>
    <row r="163" spans="6:34" ht="15.75">
      <c r="G163" s="10">
        <f t="shared" si="25"/>
        <v>17</v>
      </c>
      <c r="H163" s="10">
        <f>(-0.3*(Table16[[#This Row],[Sample Description]]-1)+18.9)</f>
        <v>14.099999999999998</v>
      </c>
      <c r="I163" s="10">
        <f>(-0.04*(Table16[[#This Row],[Sample Description]]-1)+2.41)</f>
        <v>1.77</v>
      </c>
      <c r="O163" s="10">
        <f t="shared" si="22"/>
        <v>17</v>
      </c>
      <c r="P163">
        <f>(0.3*(Table1_37[[#This Row],[Sample Description]]-1)+21.4)</f>
        <v>26.2</v>
      </c>
      <c r="Q163" s="10">
        <f>(0.04*(Table1_37[[#This Row],[Sample Description]]-1)+2.72)</f>
        <v>3.3600000000000003</v>
      </c>
      <c r="W163" s="10">
        <f t="shared" si="23"/>
        <v>17</v>
      </c>
      <c r="X163" s="10">
        <f>(-0.6*(Table1_37[[#This Row],[Sample Description]]-2)+21.5)</f>
        <v>12.5</v>
      </c>
      <c r="Y163" s="10">
        <f>(-0.08*(Table1_37[[#This Row],[Sample Description]]-2)+2.74)</f>
        <v>1.5400000000000003</v>
      </c>
      <c r="AE163" s="10">
        <f t="shared" si="24"/>
        <v>17</v>
      </c>
      <c r="AF163" s="3" t="s">
        <v>24</v>
      </c>
      <c r="AG163" s="3" t="s">
        <v>24</v>
      </c>
    </row>
    <row r="164" spans="6:34" ht="15.75">
      <c r="G164" s="10">
        <f t="shared" si="25"/>
        <v>18</v>
      </c>
      <c r="H164" s="10">
        <f>(-0.3*(Table16[[#This Row],[Sample Description]]-1)+18.9)</f>
        <v>13.799999999999999</v>
      </c>
      <c r="I164" s="10">
        <f>(-0.04*(Table16[[#This Row],[Sample Description]]-1)+2.41)</f>
        <v>1.73</v>
      </c>
      <c r="O164" s="10">
        <f t="shared" si="22"/>
        <v>18</v>
      </c>
      <c r="P164">
        <f>(0.3*(Table1_37[[#This Row],[Sample Description]]-1)+21.4)</f>
        <v>26.5</v>
      </c>
      <c r="Q164" s="10">
        <f>(0.04*(Table1_37[[#This Row],[Sample Description]]-1)+2.72)</f>
        <v>3.4000000000000004</v>
      </c>
      <c r="W164" s="10">
        <f t="shared" si="23"/>
        <v>18</v>
      </c>
      <c r="X164" s="10">
        <f>(-0.6*(Table1_37[[#This Row],[Sample Description]]-2)+21.5)</f>
        <v>11.9</v>
      </c>
      <c r="Y164" s="10">
        <f>(-0.08*(Table1_37[[#This Row],[Sample Description]]-2)+2.74)</f>
        <v>1.4600000000000002</v>
      </c>
      <c r="AE164" s="10">
        <f t="shared" si="24"/>
        <v>18</v>
      </c>
      <c r="AF164" s="3" t="s">
        <v>24</v>
      </c>
      <c r="AG164" s="3" t="s">
        <v>24</v>
      </c>
    </row>
    <row r="165" spans="6:34" ht="15.75">
      <c r="G165" s="10">
        <f t="shared" si="25"/>
        <v>19</v>
      </c>
      <c r="H165" s="10">
        <f>(-0.3*(Table16[[#This Row],[Sample Description]]-1)+18.9)</f>
        <v>13.5</v>
      </c>
      <c r="I165" s="10">
        <f>(-0.04*(Table16[[#This Row],[Sample Description]]-1)+2.41)</f>
        <v>1.6900000000000002</v>
      </c>
      <c r="O165" s="10">
        <f t="shared" si="22"/>
        <v>19</v>
      </c>
      <c r="P165">
        <f>(0.3*(Table1_37[[#This Row],[Sample Description]]-1)+21.4)</f>
        <v>26.799999999999997</v>
      </c>
      <c r="Q165" s="10">
        <f>(0.04*(Table1_37[[#This Row],[Sample Description]]-1)+2.72)</f>
        <v>3.4400000000000004</v>
      </c>
      <c r="W165" s="10">
        <f t="shared" si="23"/>
        <v>19</v>
      </c>
      <c r="X165" s="10">
        <f>(-0.6*(Table1_37[[#This Row],[Sample Description]]-2)+21.5)</f>
        <v>11.3</v>
      </c>
      <c r="Y165" s="10">
        <f>(-0.08*(Table1_37[[#This Row],[Sample Description]]-2)+2.74)</f>
        <v>1.3800000000000001</v>
      </c>
      <c r="AE165" s="10">
        <f t="shared" si="24"/>
        <v>19</v>
      </c>
      <c r="AF165" s="3" t="s">
        <v>24</v>
      </c>
      <c r="AG165" s="3" t="s">
        <v>24</v>
      </c>
    </row>
    <row r="166" spans="6:34" ht="15.75">
      <c r="G166" s="10">
        <f t="shared" si="25"/>
        <v>20</v>
      </c>
      <c r="H166" s="10">
        <f>(-0.3*(Table16[[#This Row],[Sample Description]]-1)+18.9)</f>
        <v>13.2</v>
      </c>
      <c r="I166" s="10">
        <f>(-0.04*(Table16[[#This Row],[Sample Description]]-1)+2.41)</f>
        <v>1.6500000000000001</v>
      </c>
      <c r="O166" s="10">
        <f t="shared" si="22"/>
        <v>20</v>
      </c>
      <c r="P166">
        <f>(0.3*(Table1_37[[#This Row],[Sample Description]]-1)+21.4)</f>
        <v>27.099999999999998</v>
      </c>
      <c r="Q166" s="10">
        <f>(0.04*(Table1_37[[#This Row],[Sample Description]]-1)+2.72)</f>
        <v>3.4800000000000004</v>
      </c>
      <c r="W166" s="10">
        <f t="shared" si="23"/>
        <v>20</v>
      </c>
      <c r="X166" s="10">
        <f>(-0.6*(Table1_37[[#This Row],[Sample Description]]-2)+21.5)</f>
        <v>10.700000000000001</v>
      </c>
      <c r="Y166" s="10">
        <f>(-0.08*(Table1_37[[#This Row],[Sample Description]]-2)+2.74)</f>
        <v>1.3000000000000003</v>
      </c>
      <c r="AE166" s="10">
        <f t="shared" si="24"/>
        <v>20</v>
      </c>
      <c r="AF166" s="3" t="s">
        <v>24</v>
      </c>
      <c r="AG166" s="3" t="s">
        <v>24</v>
      </c>
    </row>
    <row r="167" spans="6:34" ht="15.75">
      <c r="F167" s="3"/>
      <c r="G167" s="3">
        <v>1</v>
      </c>
      <c r="H167" s="3">
        <v>23.4</v>
      </c>
      <c r="I167" s="3">
        <v>2.98</v>
      </c>
      <c r="J167" s="3"/>
      <c r="N167" s="3"/>
      <c r="O167" s="3">
        <v>1</v>
      </c>
      <c r="P167" s="5">
        <v>20.5</v>
      </c>
      <c r="Q167" s="5">
        <v>2.61</v>
      </c>
      <c r="R167" s="5"/>
      <c r="V167" s="3"/>
      <c r="W167" s="3">
        <v>1</v>
      </c>
      <c r="X167" s="5">
        <v>21.6</v>
      </c>
      <c r="Y167" s="5">
        <v>2.75</v>
      </c>
      <c r="Z167" s="3"/>
      <c r="AD167" s="3"/>
      <c r="AE167" s="3">
        <v>1</v>
      </c>
      <c r="AF167" s="3" t="s">
        <v>24</v>
      </c>
      <c r="AG167" s="3" t="s">
        <v>24</v>
      </c>
      <c r="AH167" s="3"/>
    </row>
    <row r="168" spans="6:34" ht="15.75">
      <c r="F168" s="3"/>
      <c r="G168" s="3">
        <v>2</v>
      </c>
      <c r="H168" s="3">
        <v>19.7</v>
      </c>
      <c r="I168" s="3">
        <v>2.5099999999999998</v>
      </c>
      <c r="J168" s="3"/>
      <c r="N168" s="3"/>
      <c r="O168" s="3">
        <v>2</v>
      </c>
      <c r="P168" s="5">
        <v>22.8</v>
      </c>
      <c r="Q168" s="5">
        <v>2.9</v>
      </c>
      <c r="R168" s="5"/>
      <c r="V168" s="3"/>
      <c r="W168" s="3">
        <v>2</v>
      </c>
      <c r="X168" s="5">
        <v>22.4</v>
      </c>
      <c r="Y168" s="5">
        <v>2.85</v>
      </c>
      <c r="Z168" s="3"/>
      <c r="AD168" s="3"/>
      <c r="AE168" s="3">
        <v>2</v>
      </c>
      <c r="AF168" s="3" t="s">
        <v>24</v>
      </c>
      <c r="AG168" s="3" t="s">
        <v>24</v>
      </c>
      <c r="AH168" s="3"/>
    </row>
    <row r="169" spans="6:34" ht="16.5" thickBot="1">
      <c r="G169" s="10">
        <f>G168+1</f>
        <v>3</v>
      </c>
      <c r="H169" s="14">
        <v>22.3</v>
      </c>
      <c r="I169" s="14">
        <v>2.84</v>
      </c>
      <c r="O169" s="10">
        <f t="shared" ref="O169:O186" si="26">O168+1</f>
        <v>3</v>
      </c>
      <c r="P169" s="7">
        <v>21.5</v>
      </c>
      <c r="Q169" s="7">
        <v>2.74</v>
      </c>
      <c r="R169" s="15"/>
      <c r="W169" s="10">
        <f t="shared" ref="W169:W186" si="27">W168+1</f>
        <v>3</v>
      </c>
      <c r="X169" s="7">
        <v>25.7</v>
      </c>
      <c r="Y169" s="7">
        <v>3.27</v>
      </c>
      <c r="AE169" s="10">
        <f t="shared" ref="AE169:AE186" si="28">AE168+1</f>
        <v>3</v>
      </c>
      <c r="AF169" s="3" t="s">
        <v>24</v>
      </c>
      <c r="AG169" s="3" t="s">
        <v>24</v>
      </c>
    </row>
    <row r="170" spans="6:34" ht="15.75">
      <c r="G170" s="10">
        <f t="shared" ref="G170:G186" si="29">G169+1</f>
        <v>4</v>
      </c>
      <c r="H170" s="10">
        <f>(-0.55*(Table16[[#This Row],[Sample Description]]-1)+23.4)</f>
        <v>21.75</v>
      </c>
      <c r="I170" s="10">
        <f>(-0.07*(Table16[[#This Row],[Sample Description]]-1)+2.98)</f>
        <v>2.77</v>
      </c>
      <c r="O170" s="10">
        <f t="shared" si="26"/>
        <v>4</v>
      </c>
      <c r="P170" s="10">
        <f>(0.5*(Table1_37[[#This Row],[Sample Description]]-1)+20.5)</f>
        <v>22</v>
      </c>
      <c r="Q170" s="10">
        <f>(0.065*(Table1_37[[#This Row],[Sample Description]]-1)+2.61)</f>
        <v>2.8049999999999997</v>
      </c>
      <c r="W170" s="10">
        <f t="shared" si="27"/>
        <v>4</v>
      </c>
      <c r="X170" s="10">
        <f>(0.8*(Table1_348[[#This Row],[Sample Description]]-1)+21.6)</f>
        <v>24</v>
      </c>
      <c r="Y170" s="10">
        <f>(0.1*(Table1_348[[#This Row],[Sample Description]]-1)+2.75)</f>
        <v>3.05</v>
      </c>
      <c r="AE170" s="10">
        <f t="shared" si="28"/>
        <v>4</v>
      </c>
      <c r="AF170" s="3" t="s">
        <v>24</v>
      </c>
      <c r="AG170" s="3" t="s">
        <v>24</v>
      </c>
    </row>
    <row r="171" spans="6:34" ht="15.75">
      <c r="G171" s="10">
        <f t="shared" si="29"/>
        <v>5</v>
      </c>
      <c r="H171" s="10">
        <f>(-0.55*(Table16[[#This Row],[Sample Description]]-1)+23.4)</f>
        <v>21.2</v>
      </c>
      <c r="I171" s="10">
        <f>(-0.07*(Table16[[#This Row],[Sample Description]]-1)+2.98)</f>
        <v>2.7</v>
      </c>
      <c r="O171" s="10">
        <f t="shared" si="26"/>
        <v>5</v>
      </c>
      <c r="P171" s="10">
        <f>(0.5*(Table1_37[[#This Row],[Sample Description]]-1)+20.5)</f>
        <v>22.5</v>
      </c>
      <c r="Q171" s="10">
        <f>(0.065*(Table1_37[[#This Row],[Sample Description]]-1)+2.61)</f>
        <v>2.87</v>
      </c>
      <c r="W171" s="10">
        <f t="shared" si="27"/>
        <v>5</v>
      </c>
      <c r="X171" s="10">
        <f>(0.8*(Table1_348[[#This Row],[Sample Description]]-1)+21.6)</f>
        <v>24.8</v>
      </c>
      <c r="Y171" s="10">
        <f>(0.1*(Table1_348[[#This Row],[Sample Description]]-1)+2.75)</f>
        <v>3.15</v>
      </c>
      <c r="AE171" s="10">
        <f t="shared" si="28"/>
        <v>5</v>
      </c>
      <c r="AF171" s="3" t="s">
        <v>24</v>
      </c>
      <c r="AG171" s="3" t="s">
        <v>24</v>
      </c>
    </row>
    <row r="172" spans="6:34" ht="15.75">
      <c r="G172" s="10">
        <f t="shared" si="29"/>
        <v>6</v>
      </c>
      <c r="H172" s="10">
        <f>(-0.55*(Table16[[#This Row],[Sample Description]]-1)+23.4)</f>
        <v>20.65</v>
      </c>
      <c r="I172" s="10">
        <f>(-0.07*(Table16[[#This Row],[Sample Description]]-1)+2.98)</f>
        <v>2.63</v>
      </c>
      <c r="O172" s="10">
        <f t="shared" si="26"/>
        <v>6</v>
      </c>
      <c r="P172" s="10">
        <f>(0.5*(Table1_37[[#This Row],[Sample Description]]-1)+20.5)</f>
        <v>23</v>
      </c>
      <c r="Q172" s="10">
        <f>(0.065*(Table1_37[[#This Row],[Sample Description]]-1)+2.61)</f>
        <v>2.9350000000000001</v>
      </c>
      <c r="W172" s="10">
        <f t="shared" si="27"/>
        <v>6</v>
      </c>
      <c r="X172" s="10">
        <f>(0.8*(Table1_348[[#This Row],[Sample Description]]-1)+21.6)</f>
        <v>25.6</v>
      </c>
      <c r="Y172" s="10">
        <f>(0.1*(Table1_348[[#This Row],[Sample Description]]-1)+2.75)</f>
        <v>3.25</v>
      </c>
      <c r="AE172" s="10">
        <f t="shared" si="28"/>
        <v>6</v>
      </c>
      <c r="AF172" s="3" t="s">
        <v>24</v>
      </c>
      <c r="AG172" s="3" t="s">
        <v>24</v>
      </c>
    </row>
    <row r="173" spans="6:34" ht="15.75">
      <c r="G173" s="10">
        <f t="shared" si="29"/>
        <v>7</v>
      </c>
      <c r="H173" s="10">
        <f>(-0.55*(Table16[[#This Row],[Sample Description]]-1)+23.4)</f>
        <v>20.099999999999998</v>
      </c>
      <c r="I173" s="10">
        <f>(-0.07*(Table16[[#This Row],[Sample Description]]-1)+2.98)</f>
        <v>2.56</v>
      </c>
      <c r="O173" s="10">
        <f t="shared" si="26"/>
        <v>7</v>
      </c>
      <c r="P173" s="10">
        <f>(0.5*(Table1_37[[#This Row],[Sample Description]]-1)+20.5)</f>
        <v>23.5</v>
      </c>
      <c r="Q173" s="10">
        <f>(0.065*(Table1_37[[#This Row],[Sample Description]]-1)+2.61)</f>
        <v>3</v>
      </c>
      <c r="W173" s="10">
        <f t="shared" si="27"/>
        <v>7</v>
      </c>
      <c r="X173" s="10">
        <f>(0.8*(Table1_348[[#This Row],[Sample Description]]-1)+21.6)</f>
        <v>26.400000000000002</v>
      </c>
      <c r="Y173" s="10">
        <f>(0.1*(Table1_348[[#This Row],[Sample Description]]-1)+2.75)</f>
        <v>3.35</v>
      </c>
      <c r="AE173" s="10">
        <f t="shared" si="28"/>
        <v>7</v>
      </c>
      <c r="AF173" s="3" t="s">
        <v>24</v>
      </c>
      <c r="AG173" s="3" t="s">
        <v>24</v>
      </c>
    </row>
    <row r="174" spans="6:34" ht="15.75">
      <c r="G174" s="10">
        <f t="shared" si="29"/>
        <v>8</v>
      </c>
      <c r="H174" s="10">
        <f>(-0.55*(Table16[[#This Row],[Sample Description]]-1)+23.4)</f>
        <v>19.549999999999997</v>
      </c>
      <c r="I174" s="10">
        <f>(-0.07*(Table16[[#This Row],[Sample Description]]-1)+2.98)</f>
        <v>2.4899999999999998</v>
      </c>
      <c r="O174" s="10">
        <f t="shared" si="26"/>
        <v>8</v>
      </c>
      <c r="P174" s="10">
        <f>(0.5*(Table1_37[[#This Row],[Sample Description]]-1)+20.5)</f>
        <v>24</v>
      </c>
      <c r="Q174" s="10">
        <f>(0.065*(Table1_37[[#This Row],[Sample Description]]-1)+2.61)</f>
        <v>3.0649999999999999</v>
      </c>
      <c r="W174" s="10">
        <f t="shared" si="27"/>
        <v>8</v>
      </c>
      <c r="X174" s="10">
        <f>(0.8*(Table1_348[[#This Row],[Sample Description]]-1)+21.6)</f>
        <v>27.200000000000003</v>
      </c>
      <c r="Y174" s="10">
        <f>(0.1*(Table1_348[[#This Row],[Sample Description]]-1)+2.75)</f>
        <v>3.45</v>
      </c>
      <c r="AE174" s="10">
        <f t="shared" si="28"/>
        <v>8</v>
      </c>
      <c r="AF174" s="3" t="s">
        <v>24</v>
      </c>
      <c r="AG174" s="3" t="s">
        <v>24</v>
      </c>
    </row>
    <row r="175" spans="6:34" ht="15.75">
      <c r="G175" s="10">
        <f t="shared" si="29"/>
        <v>9</v>
      </c>
      <c r="H175" s="10">
        <f>(-0.55*(Table16[[#This Row],[Sample Description]]-1)+23.4)</f>
        <v>19</v>
      </c>
      <c r="I175" s="10">
        <f>(-0.07*(Table16[[#This Row],[Sample Description]]-1)+2.98)</f>
        <v>2.42</v>
      </c>
      <c r="O175" s="10">
        <f t="shared" si="26"/>
        <v>9</v>
      </c>
      <c r="P175" s="10">
        <f>(0.5*(Table1_37[[#This Row],[Sample Description]]-1)+20.5)</f>
        <v>24.5</v>
      </c>
      <c r="Q175" s="10">
        <f>(0.065*(Table1_37[[#This Row],[Sample Description]]-1)+2.61)</f>
        <v>3.13</v>
      </c>
      <c r="W175" s="10">
        <f t="shared" si="27"/>
        <v>9</v>
      </c>
      <c r="X175" s="10">
        <f>(0.8*(Table1_348[[#This Row],[Sample Description]]-1)+21.6)</f>
        <v>28</v>
      </c>
      <c r="Y175" s="10">
        <f>(0.1*(Table1_348[[#This Row],[Sample Description]]-1)+2.75)</f>
        <v>3.55</v>
      </c>
      <c r="AE175" s="10">
        <f t="shared" si="28"/>
        <v>9</v>
      </c>
      <c r="AF175" s="3" t="s">
        <v>24</v>
      </c>
      <c r="AG175" s="3" t="s">
        <v>24</v>
      </c>
    </row>
    <row r="176" spans="6:34" ht="15.75">
      <c r="F176" s="10" t="s">
        <v>18</v>
      </c>
      <c r="G176" s="10">
        <f t="shared" si="29"/>
        <v>10</v>
      </c>
      <c r="H176" s="10">
        <f>(-0.55*(Table16[[#This Row],[Sample Description]]-1)+23.4)</f>
        <v>18.45</v>
      </c>
      <c r="I176" s="10">
        <f>(-0.07*(Table16[[#This Row],[Sample Description]]-1)+2.98)</f>
        <v>2.3499999999999996</v>
      </c>
      <c r="J176">
        <f>(SUM(I167:I186))/20</f>
        <v>2.2949999999999999</v>
      </c>
      <c r="N176" s="10" t="s">
        <v>18</v>
      </c>
      <c r="O176" s="10">
        <f t="shared" si="26"/>
        <v>10</v>
      </c>
      <c r="P176" s="10">
        <f>(0.5*(Table1_37[[#This Row],[Sample Description]]-1)+20.5)</f>
        <v>25</v>
      </c>
      <c r="Q176" s="10">
        <f>(0.065*(Table1_37[[#This Row],[Sample Description]]-1)+2.61)</f>
        <v>3.1949999999999998</v>
      </c>
      <c r="R176">
        <f>(SUM(Q167:Q186)/20)</f>
        <v>3.2387500000000005</v>
      </c>
      <c r="V176" s="10" t="s">
        <v>18</v>
      </c>
      <c r="W176" s="10">
        <f t="shared" si="27"/>
        <v>10</v>
      </c>
      <c r="X176" s="10">
        <f>(0.8*(Table1_348[[#This Row],[Sample Description]]-1)+21.6)</f>
        <v>28.8</v>
      </c>
      <c r="Y176" s="10">
        <f>(0.1*(Table1_348[[#This Row],[Sample Description]]-1)+2.75)</f>
        <v>3.65</v>
      </c>
      <c r="Z176">
        <f>(SUM(Y167:Y186)/20)</f>
        <v>3.7160000000000002</v>
      </c>
      <c r="AD176" s="10" t="s">
        <v>18</v>
      </c>
      <c r="AE176" s="10">
        <f t="shared" si="28"/>
        <v>10</v>
      </c>
      <c r="AF176" s="3" t="s">
        <v>24</v>
      </c>
      <c r="AG176" s="3" t="s">
        <v>24</v>
      </c>
      <c r="AH176" s="10" t="s">
        <v>24</v>
      </c>
    </row>
    <row r="177" spans="7:33" ht="15.75">
      <c r="G177" s="10">
        <f t="shared" si="29"/>
        <v>11</v>
      </c>
      <c r="H177" s="10">
        <f>(-0.55*(Table16[[#This Row],[Sample Description]]-1)+23.4)</f>
        <v>17.899999999999999</v>
      </c>
      <c r="I177" s="10">
        <f>(-0.07*(Table16[[#This Row],[Sample Description]]-1)+2.98)</f>
        <v>2.2799999999999998</v>
      </c>
      <c r="O177" s="10">
        <f t="shared" si="26"/>
        <v>11</v>
      </c>
      <c r="P177" s="10">
        <f>(0.5*(Table1_37[[#This Row],[Sample Description]]-1)+20.5)</f>
        <v>25.5</v>
      </c>
      <c r="Q177" s="10">
        <f>(0.065*(Table1_37[[#This Row],[Sample Description]]-1)+2.61)</f>
        <v>3.26</v>
      </c>
      <c r="W177" s="10">
        <f t="shared" si="27"/>
        <v>11</v>
      </c>
      <c r="X177" s="10">
        <f>(0.8*(Table1_348[[#This Row],[Sample Description]]-1)+21.6)</f>
        <v>29.6</v>
      </c>
      <c r="Y177" s="10">
        <f>(0.1*(Table1_348[[#This Row],[Sample Description]]-1)+2.75)</f>
        <v>3.75</v>
      </c>
      <c r="AE177" s="10">
        <f t="shared" si="28"/>
        <v>11</v>
      </c>
      <c r="AF177" s="3" t="s">
        <v>24</v>
      </c>
      <c r="AG177" s="3" t="s">
        <v>24</v>
      </c>
    </row>
    <row r="178" spans="7:33" ht="15.75">
      <c r="G178" s="10">
        <f t="shared" si="29"/>
        <v>12</v>
      </c>
      <c r="H178" s="10">
        <f>(-0.55*(Table16[[#This Row],[Sample Description]]-1)+23.4)</f>
        <v>17.349999999999998</v>
      </c>
      <c r="I178" s="10">
        <f>(-0.07*(Table16[[#This Row],[Sample Description]]-1)+2.98)</f>
        <v>2.21</v>
      </c>
      <c r="O178" s="10">
        <f t="shared" si="26"/>
        <v>12</v>
      </c>
      <c r="P178" s="10">
        <f>(0.5*(Table1_37[[#This Row],[Sample Description]]-1)+20.5)</f>
        <v>26</v>
      </c>
      <c r="Q178" s="10">
        <f>(0.065*(Table1_37[[#This Row],[Sample Description]]-1)+2.61)</f>
        <v>3.3250000000000002</v>
      </c>
      <c r="W178" s="10">
        <f t="shared" si="27"/>
        <v>12</v>
      </c>
      <c r="X178" s="10">
        <f>(0.8*(Table1_348[[#This Row],[Sample Description]]-1)+21.6)</f>
        <v>30.400000000000002</v>
      </c>
      <c r="Y178" s="10">
        <f>(0.1*(Table1_348[[#This Row],[Sample Description]]-1)+2.75)</f>
        <v>3.85</v>
      </c>
      <c r="AE178" s="10">
        <f t="shared" si="28"/>
        <v>12</v>
      </c>
      <c r="AF178" s="3" t="s">
        <v>24</v>
      </c>
      <c r="AG178" s="3" t="s">
        <v>24</v>
      </c>
    </row>
    <row r="179" spans="7:33" ht="15.75">
      <c r="G179" s="10">
        <f t="shared" si="29"/>
        <v>13</v>
      </c>
      <c r="H179" s="10">
        <f>(-0.55*(Table16[[#This Row],[Sample Description]]-1)+23.4)</f>
        <v>16.799999999999997</v>
      </c>
      <c r="I179" s="10">
        <f>(-0.07*(Table16[[#This Row],[Sample Description]]-1)+2.98)</f>
        <v>2.1399999999999997</v>
      </c>
      <c r="O179" s="10">
        <f t="shared" si="26"/>
        <v>13</v>
      </c>
      <c r="P179" s="10">
        <f>(0.5*(Table1_37[[#This Row],[Sample Description]]-1)+20.5)</f>
        <v>26.5</v>
      </c>
      <c r="Q179" s="10">
        <f>(0.065*(Table1_37[[#This Row],[Sample Description]]-1)+2.61)</f>
        <v>3.3899999999999997</v>
      </c>
      <c r="W179" s="10">
        <f t="shared" si="27"/>
        <v>13</v>
      </c>
      <c r="X179" s="10">
        <f>(0.8*(Table1_348[[#This Row],[Sample Description]]-1)+21.6)</f>
        <v>31.200000000000003</v>
      </c>
      <c r="Y179" s="10">
        <f>(0.1*(Table1_348[[#This Row],[Sample Description]]-1)+2.75)</f>
        <v>3.95</v>
      </c>
      <c r="AE179" s="10">
        <f t="shared" si="28"/>
        <v>13</v>
      </c>
      <c r="AF179" s="3" t="s">
        <v>24</v>
      </c>
      <c r="AG179" s="3" t="s">
        <v>24</v>
      </c>
    </row>
    <row r="180" spans="7:33" ht="15.75">
      <c r="G180" s="10">
        <f t="shared" si="29"/>
        <v>14</v>
      </c>
      <c r="H180" s="10">
        <f>(-0.55*(Table16[[#This Row],[Sample Description]]-1)+23.4)</f>
        <v>16.25</v>
      </c>
      <c r="I180" s="10">
        <f>(-0.07*(Table16[[#This Row],[Sample Description]]-1)+2.98)</f>
        <v>2.0699999999999998</v>
      </c>
      <c r="O180" s="10">
        <f t="shared" si="26"/>
        <v>14</v>
      </c>
      <c r="P180" s="10">
        <f>(0.5*(Table1_37[[#This Row],[Sample Description]]-1)+20.5)</f>
        <v>27</v>
      </c>
      <c r="Q180" s="10">
        <f>(0.065*(Table1_37[[#This Row],[Sample Description]]-1)+2.61)</f>
        <v>3.4550000000000001</v>
      </c>
      <c r="W180" s="10">
        <f t="shared" si="27"/>
        <v>14</v>
      </c>
      <c r="X180" s="10">
        <f>(0.8*(Table1_348[[#This Row],[Sample Description]]-1)+21.6)</f>
        <v>32</v>
      </c>
      <c r="Y180" s="10">
        <f>(0.1*(Table1_348[[#This Row],[Sample Description]]-1)+2.75)</f>
        <v>4.05</v>
      </c>
      <c r="AE180" s="10">
        <f t="shared" si="28"/>
        <v>14</v>
      </c>
      <c r="AF180" s="3" t="s">
        <v>24</v>
      </c>
      <c r="AG180" s="3" t="s">
        <v>24</v>
      </c>
    </row>
    <row r="181" spans="7:33" ht="15.75">
      <c r="G181" s="10">
        <f t="shared" si="29"/>
        <v>15</v>
      </c>
      <c r="H181" s="10">
        <f>(-0.55*(Table16[[#This Row],[Sample Description]]-1)+23.4)</f>
        <v>15.699999999999998</v>
      </c>
      <c r="I181" s="10">
        <f>(-0.07*(Table16[[#This Row],[Sample Description]]-1)+2.98)</f>
        <v>2</v>
      </c>
      <c r="O181" s="10">
        <f t="shared" si="26"/>
        <v>15</v>
      </c>
      <c r="P181" s="10">
        <f>(0.5*(Table1_37[[#This Row],[Sample Description]]-1)+20.5)</f>
        <v>27.5</v>
      </c>
      <c r="Q181" s="10">
        <f>(0.065*(Table1_37[[#This Row],[Sample Description]]-1)+2.61)</f>
        <v>3.52</v>
      </c>
      <c r="W181" s="10">
        <f t="shared" si="27"/>
        <v>15</v>
      </c>
      <c r="X181" s="10">
        <f>(0.8*(Table1_348[[#This Row],[Sample Description]]-1)+21.6)</f>
        <v>32.800000000000004</v>
      </c>
      <c r="Y181" s="10">
        <f>(0.1*(Table1_348[[#This Row],[Sample Description]]-1)+2.75)</f>
        <v>4.1500000000000004</v>
      </c>
      <c r="AE181" s="10">
        <f t="shared" si="28"/>
        <v>15</v>
      </c>
      <c r="AF181" s="3" t="s">
        <v>24</v>
      </c>
      <c r="AG181" s="3" t="s">
        <v>24</v>
      </c>
    </row>
    <row r="182" spans="7:33" ht="15.75">
      <c r="G182" s="10">
        <f t="shared" si="29"/>
        <v>16</v>
      </c>
      <c r="H182" s="10">
        <f>(-0.55*(Table16[[#This Row],[Sample Description]]-1)+23.4)</f>
        <v>15.149999999999999</v>
      </c>
      <c r="I182" s="10">
        <f>(-0.07*(Table16[[#This Row],[Sample Description]]-1)+2.98)</f>
        <v>1.93</v>
      </c>
      <c r="O182" s="10">
        <f t="shared" si="26"/>
        <v>16</v>
      </c>
      <c r="P182" s="10">
        <f>(0.5*(Table1_37[[#This Row],[Sample Description]]-1)+20.5)</f>
        <v>28</v>
      </c>
      <c r="Q182" s="10">
        <f>(0.065*(Table1_37[[#This Row],[Sample Description]]-1)+2.61)</f>
        <v>3.585</v>
      </c>
      <c r="W182" s="10">
        <f t="shared" si="27"/>
        <v>16</v>
      </c>
      <c r="X182" s="10">
        <f>(0.8*(Table1_348[[#This Row],[Sample Description]]-1)+21.6)</f>
        <v>33.6</v>
      </c>
      <c r="Y182" s="10">
        <f>(0.1*(Table1_348[[#This Row],[Sample Description]]-1)+2.75)</f>
        <v>4.25</v>
      </c>
      <c r="AE182" s="10">
        <f t="shared" si="28"/>
        <v>16</v>
      </c>
      <c r="AF182" s="3" t="s">
        <v>24</v>
      </c>
      <c r="AG182" s="3" t="s">
        <v>24</v>
      </c>
    </row>
    <row r="183" spans="7:33" ht="15.75">
      <c r="G183" s="10">
        <f t="shared" si="29"/>
        <v>17</v>
      </c>
      <c r="H183" s="10">
        <f>(-0.55*(Table16[[#This Row],[Sample Description]]-1)+23.4)</f>
        <v>14.599999999999998</v>
      </c>
      <c r="I183" s="10">
        <f>(-0.07*(Table16[[#This Row],[Sample Description]]-1)+2.98)</f>
        <v>1.8599999999999999</v>
      </c>
      <c r="O183" s="10">
        <f t="shared" si="26"/>
        <v>17</v>
      </c>
      <c r="P183" s="10">
        <f>(0.5*(Table1_37[[#This Row],[Sample Description]]-1)+20.5)</f>
        <v>28.5</v>
      </c>
      <c r="Q183" s="10">
        <f>(0.065*(Table1_37[[#This Row],[Sample Description]]-1)+2.61)</f>
        <v>3.65</v>
      </c>
      <c r="W183" s="10">
        <f t="shared" si="27"/>
        <v>17</v>
      </c>
      <c r="X183" s="10">
        <f>(0.8*(Table1_348[[#This Row],[Sample Description]]-1)+21.6)</f>
        <v>34.400000000000006</v>
      </c>
      <c r="Y183" s="10">
        <f>(0.1*(Table1_348[[#This Row],[Sample Description]]-1)+2.75)</f>
        <v>4.3499999999999996</v>
      </c>
      <c r="AE183" s="10">
        <f t="shared" si="28"/>
        <v>17</v>
      </c>
      <c r="AF183" s="3" t="s">
        <v>24</v>
      </c>
      <c r="AG183" s="3" t="s">
        <v>24</v>
      </c>
    </row>
    <row r="184" spans="7:33" ht="15.75">
      <c r="G184" s="10">
        <f t="shared" si="29"/>
        <v>18</v>
      </c>
      <c r="H184" s="10">
        <f>(-0.55*(Table16[[#This Row],[Sample Description]]-1)+23.4)</f>
        <v>14.049999999999997</v>
      </c>
      <c r="I184" s="10">
        <f>(-0.07*(Table16[[#This Row],[Sample Description]]-1)+2.98)</f>
        <v>1.7899999999999998</v>
      </c>
      <c r="O184" s="10">
        <f t="shared" si="26"/>
        <v>18</v>
      </c>
      <c r="P184" s="10">
        <f>(0.5*(Table1_37[[#This Row],[Sample Description]]-1)+20.5)</f>
        <v>29</v>
      </c>
      <c r="Q184" s="10">
        <f>(0.065*(Table1_37[[#This Row],[Sample Description]]-1)+2.61)</f>
        <v>3.7149999999999999</v>
      </c>
      <c r="W184" s="10">
        <f t="shared" si="27"/>
        <v>18</v>
      </c>
      <c r="X184" s="10">
        <f>(0.8*(Table1_348[[#This Row],[Sample Description]]-1)+21.6)</f>
        <v>35.200000000000003</v>
      </c>
      <c r="Y184" s="10">
        <f>(0.1*(Table1_348[[#This Row],[Sample Description]]-1)+2.75)</f>
        <v>4.45</v>
      </c>
      <c r="AE184" s="10">
        <f t="shared" si="28"/>
        <v>18</v>
      </c>
      <c r="AF184" s="3" t="s">
        <v>24</v>
      </c>
      <c r="AG184" s="3" t="s">
        <v>24</v>
      </c>
    </row>
    <row r="185" spans="7:33" ht="15.75">
      <c r="G185" s="10">
        <f t="shared" si="29"/>
        <v>19</v>
      </c>
      <c r="H185" s="10">
        <f>(-0.55*(Table16[[#This Row],[Sample Description]]-1)+23.4)</f>
        <v>13.499999999999998</v>
      </c>
      <c r="I185" s="10">
        <f>(-0.07*(Table16[[#This Row],[Sample Description]]-1)+2.98)</f>
        <v>1.7199999999999998</v>
      </c>
      <c r="O185" s="10">
        <f t="shared" si="26"/>
        <v>19</v>
      </c>
      <c r="P185" s="10">
        <f>(0.5*(Table1_37[[#This Row],[Sample Description]]-1)+20.5)</f>
        <v>29.5</v>
      </c>
      <c r="Q185" s="10">
        <f>(0.065*(Table1_37[[#This Row],[Sample Description]]-1)+2.61)</f>
        <v>3.78</v>
      </c>
      <c r="W185" s="10">
        <f t="shared" si="27"/>
        <v>19</v>
      </c>
      <c r="X185" s="10">
        <f>(0.8*(Table1_348[[#This Row],[Sample Description]]-1)+21.6)</f>
        <v>36</v>
      </c>
      <c r="Y185" s="10">
        <f>(0.1*(Table1_348[[#This Row],[Sample Description]]-1)+2.75)</f>
        <v>4.55</v>
      </c>
      <c r="AE185" s="10">
        <f t="shared" si="28"/>
        <v>19</v>
      </c>
      <c r="AF185" s="3" t="s">
        <v>24</v>
      </c>
      <c r="AG185" s="3" t="s">
        <v>24</v>
      </c>
    </row>
    <row r="186" spans="7:33" ht="15.75">
      <c r="G186" s="10">
        <f t="shared" si="29"/>
        <v>20</v>
      </c>
      <c r="H186" s="10">
        <f>(-0.55*(Table16[[#This Row],[Sample Description]]-1)+23.4)</f>
        <v>12.949999999999998</v>
      </c>
      <c r="I186" s="10">
        <f>(-0.07*(Table16[[#This Row],[Sample Description]]-1)+2.98)</f>
        <v>1.65</v>
      </c>
      <c r="O186" s="10">
        <f t="shared" si="26"/>
        <v>20</v>
      </c>
      <c r="P186" s="10">
        <f>(0.5*(Table1_37[[#This Row],[Sample Description]]-1)+20.5)</f>
        <v>30</v>
      </c>
      <c r="Q186" s="10">
        <f>(0.065*(Table1_37[[#This Row],[Sample Description]]-1)+2.61)</f>
        <v>3.8449999999999998</v>
      </c>
      <c r="W186" s="10">
        <f t="shared" si="27"/>
        <v>20</v>
      </c>
      <c r="X186" s="10">
        <f>(0.8*(Table1_348[[#This Row],[Sample Description]]-1)+21.6)</f>
        <v>36.800000000000004</v>
      </c>
      <c r="Y186" s="10">
        <f>(0.1*(Table1_348[[#This Row],[Sample Description]]-1)+2.75)</f>
        <v>4.6500000000000004</v>
      </c>
      <c r="AE186" s="10">
        <f t="shared" si="28"/>
        <v>20</v>
      </c>
      <c r="AF186" s="3" t="s">
        <v>24</v>
      </c>
      <c r="AG186" s="3" t="s">
        <v>24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</vt:lpstr>
      <vt:lpstr>Data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bakare</dc:creator>
  <cp:lastModifiedBy>HP</cp:lastModifiedBy>
  <dcterms:created xsi:type="dcterms:W3CDTF">2025-05-31T14:10:00Z</dcterms:created>
  <dcterms:modified xsi:type="dcterms:W3CDTF">2025-06-01T07:07:14Z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12C0414F99C3439EABD120D555B6371D_12</vt:lpwstr>
  </property>
  <property fmtid="{D5CDD505-2E9C-101B-9397-08002B2CF9AE}" pid="3" name="KSOProductBuildVer">
    <vt:lpwstr>1033-12.2.0.21179</vt:lpwstr>
  </property>
</Properties>
</file>