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ch_oracle_compare.csv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286">
      <text>
        <t xml:space="preserve">@cgrant@cfa.harvard.edu I think because of the comment in 2020arXiv201206687J we can call it a duplicate?
_Assigned to Carolyn Grant_
	-Jennifer Koch</t>
      </text>
    </comment>
  </commentList>
</comments>
</file>

<file path=xl/sharedStrings.xml><?xml version="1.0" encoding="utf-8"?>
<sst xmlns="http://schemas.openxmlformats.org/spreadsheetml/2006/main" count="5363" uniqueCount="1085">
  <si>
    <t>source bibcode (link)</t>
  </si>
  <si>
    <t>classic bibcode (link)</t>
  </si>
  <si>
    <t>curator comment</t>
  </si>
  <si>
    <t>verified bibcode</t>
  </si>
  <si>
    <t>matched bibcode (link)</t>
  </si>
  <si>
    <t>comment</t>
  </si>
  <si>
    <t>label</t>
  </si>
  <si>
    <t>confidence</t>
  </si>
  <si>
    <t>matched scores</t>
  </si>
  <si>
    <t>add</t>
  </si>
  <si>
    <t>No matches with DOI ['10.1088/2399-6528/acad63'] in pubnote, trying Abstract. No matches with Abstract, trying Title. No document was found in solr matching the request.</t>
  </si>
  <si>
    <t>Not Match</t>
  </si>
  <si>
    <t>no action</t>
  </si>
  <si>
    <t>No result from solr with DOI ['10.1063/5.0125996'] in pubnote. No matches with Abstract, trying Title. No document was found in solr matching the request.</t>
  </si>
  <si>
    <t>No result from solr with DOI ['10.1080/00107514.2022.2135672'] in pubnote. No matches with Abstract, trying Title. No document was found in solr matching the request.</t>
  </si>
  <si>
    <t>No result from solr with DOI ['10.1109/TAP.2022.3222645'] in pubnote. No result from solr with Abstract, trying Title. No result from solr with Title. No document was found in solr matching the request.</t>
  </si>
  <si>
    <t>No result from solr with DOI ['10.7566/JPSJ.92.023601'] in pubnote. No matches with Abstract, trying Title. No document was found in solr matching the request.</t>
  </si>
  <si>
    <t>No matches with DOI ['10.22331/q-2020-03-02-240'] in pubnote, trying Abstract. No result from solr with Abstract, trying Title. No document was found in solr matching the request.</t>
  </si>
  <si>
    <t>No result from solr with DOI ['10.1016/j.optlaseng.2023.107479'] in pubnote.</t>
  </si>
  <si>
    <t>{'abstract': 0.63, 'title': 0.71, 'author': 1, 'year': 0.75}</t>
  </si>
  <si>
    <t>No result from solr with DOI ['10.1103/PhysRevD.107.024026'] in pubnote.</t>
  </si>
  <si>
    <t>{'abstract': 0.76, 'title': 0.64, 'author': 1, 'year': 1}</t>
  </si>
  <si>
    <t>No result from solr with DOI ['10.1103/PhysRevB.107.045305'] in pubnote.</t>
  </si>
  <si>
    <t>{'abstract': 0.8, 'title': 0.58, 'author': 1, 'year': 1}</t>
  </si>
  <si>
    <t>No result from solr with DOI ['10.3390/ma16030965'] in pubnote.</t>
  </si>
  <si>
    <t>{'abstract': 0.76, 'title': 0.73, 'author': 0.62, 'year': 0.75}</t>
  </si>
  <si>
    <t>No result from solr with DOI ['10.1126/science.ade7651'] in pubnote.</t>
  </si>
  <si>
    <t>{'abstract': 0.77, 'title': 0.67, 'author': 1, 'year': 1}</t>
  </si>
  <si>
    <t>No result from solr with DOI ['10.1364/OE.477396'] in pubnote.</t>
  </si>
  <si>
    <t>{'abstract': 0.91, 'title': 0.61, 'author': 0.5, 'year': 0.75}</t>
  </si>
  <si>
    <t>No result from solr with DOI ['10.1016/j.patcog.2022.109256'] in pubnote.</t>
  </si>
  <si>
    <t>{'abstract': 0.9, 'title': 0.89, 'author': 0, 'year': 0.75}</t>
  </si>
  <si>
    <t>No result from solr with DOI ['10.1016/j.chaos.2023.113123'] in pubnote.</t>
  </si>
  <si>
    <t>{'abstract': 0.94, 'title': 0.5, 'author': 0.8, 'year': 1}</t>
  </si>
  <si>
    <t>No result from solr with DOI ['10.1103/PhysRevB.107.035140'] in pubnote.</t>
  </si>
  <si>
    <t>{'abstract': 0.86, 'title': 0.52, 'author': 1, 'year': 0.75}</t>
  </si>
  <si>
    <t>No result from solr with DOI ['10.1016/j.physd.2023.133647'] in pubnote.</t>
  </si>
  <si>
    <t>{'abstract': 0.72, 'title': 0.92, 'author': 1, 'year': 0.5}</t>
  </si>
  <si>
    <t>No result from solr with DOI ['10.1103/PhysRevA.107.013709'] in pubnote.</t>
  </si>
  <si>
    <t>{'abstract': 0.83, 'title': 0.65, 'author': 1, 'year': 1}</t>
  </si>
  <si>
    <t>No result from solr with DOI ['10.1103/PhysRevX.13.011005'] in pubnote.</t>
  </si>
  <si>
    <t>{'abstract': 0.99, 'title': 0.43, 'author': 0.89, 'year': 1}</t>
  </si>
  <si>
    <t>No result from solr with DOI ['10.1063/5.0132992'] in pubnote.</t>
  </si>
  <si>
    <t>{'abstract': 1.0, 'title': 0.39, 'author': 1, 'year': 1}</t>
  </si>
  <si>
    <t>No result from solr with DOI ['10.1038/s41586-022-05387-5'] in pubnote.</t>
  </si>
  <si>
    <t>{'abstract': 0.83, 'title': 0.64, 'author': 1, 'year': 0.75}</t>
  </si>
  <si>
    <t>No result from solr with DOI ['10.1088/1361-6544/acb18e'] in pubnote.</t>
  </si>
  <si>
    <t>{'abstract': 0.91, 'title': 0.92, 'author': 1, 'year': 0}</t>
  </si>
  <si>
    <t>No result from solr with DOI ['10.1016/j.nimb.2023.01.005'] in pubnote.</t>
  </si>
  <si>
    <t>{'abstract': 0.99, 'title': 0.49, 'author': 1, 'year': 1}</t>
  </si>
  <si>
    <t>No result from solr with DOI ['10.1103/PhysRevB.107.045131'] in pubnote.</t>
  </si>
  <si>
    <t>{'abstract': 0.91, 'title': 0.6, 'author': 1, 'year': 1}</t>
  </si>
  <si>
    <t>No result from solr with DOI ['10.1007/s12274-022-4649-z'] in pubnote.</t>
  </si>
  <si>
    <t>{'abstract': 0.95, 'title': 0.61, 'author': 1, 'year': 0.5}</t>
  </si>
  <si>
    <t>No result from solr with DOI ['10.1364/OE.479643'] in pubnote.</t>
  </si>
  <si>
    <t>{'abstract': 0.92, 'title': 0.61, 'author': 1, 'year': 0.75}</t>
  </si>
  <si>
    <t>No result from solr with DOI ['10.1103/PhysRevB.107.L041107'] in pubnote.</t>
  </si>
  <si>
    <t>{'abstract': 0.79, 'title': 0.77, 'author': 0.94, 'year': 1}</t>
  </si>
  <si>
    <t>No result from solr with DOI ['10.1103/PhysRevB.107.L020505'] in pubnote.</t>
  </si>
  <si>
    <t>{'abstract': 0.98, 'title': 0.79, 'author': 1, 'year': 0.25}</t>
  </si>
  <si>
    <t>No result from solr with DOI ['10.1016/j.jcpx.2023.100124'] in pubnote.</t>
  </si>
  <si>
    <t>{'abstract': 0.73, 'title': 0.93, 'author': 1, 'year': 0.75}</t>
  </si>
  <si>
    <t>No result from solr with DOI ['10.1134/S0016793222070192'] in pubnote.</t>
  </si>
  <si>
    <t>{'abstract': 0.91, 'title': 0.65, 'author': 1, 'year': 1}</t>
  </si>
  <si>
    <t>No result from solr with DOI ['10.1038/s41567-022-01794-7'] in pubnote.</t>
  </si>
  <si>
    <t>{'abstract': 0.9, 'title': 0.7, 'author': 1, 'year': 0.75}</t>
  </si>
  <si>
    <t>No result from solr with DOI ['10.1088/1367-2630/acb169'] in pubnote.</t>
  </si>
  <si>
    <t>{'abstract': 0.92, 'title': 0.67, 'author': 1, 'year': 0.75}</t>
  </si>
  <si>
    <t>No result from solr with DOI ['10.1007/s10773-022-05254-z'] in pubnote.</t>
  </si>
  <si>
    <t>{'abstract': 0.99, 'title': 0.62, 'author': 0.33, 'year': 1}</t>
  </si>
  <si>
    <t>agree</t>
  </si>
  <si>
    <t>No result from solr with DOI ['10.1063/5.0133983'] in pubnote.</t>
  </si>
  <si>
    <t>Match</t>
  </si>
  <si>
    <t>{'abstract': 1.0, 'title': 0.57, 'author': 1, 'year': 1}</t>
  </si>
  <si>
    <t>No result from solr with DOI ['10.1038/s41598-022-27156-0'] in pubnote.</t>
  </si>
  <si>
    <t>{}</t>
  </si>
  <si>
    <t>No result from solr with DOI ['10.1016/j.physletb.2022.137632'] in pubnote.</t>
  </si>
  <si>
    <t>{'abstract': 1.0, 'title': 0.92, 'author': 1, 'year': 0}</t>
  </si>
  <si>
    <t>No result from solr with DOI ['10.1038/s41586-022-05446-x'] in pubnote.</t>
  </si>
  <si>
    <t>No result from solr with DOI ['10.1039/D2SM01331B'] in pubnote.</t>
  </si>
  <si>
    <t>{'abstract': 0.68, 'title': 0.87, 'author': 1, 'year': 1}</t>
  </si>
  <si>
    <t>No result from solr with DOI ['10.1038/s41566-022-01099-4'] in pubnote.</t>
  </si>
  <si>
    <t>{'abstract': 0.97, 'title': 0.65, 'author': 1, 'year': 1}</t>
  </si>
  <si>
    <t>No result from solr with DOI ['10.1016/j.atmosenv.2023.119589'] in pubnote.</t>
  </si>
  <si>
    <t>{'abstract': 0.94, 'title': 0.67, 'author': 0.75, 'year': 1}</t>
  </si>
  <si>
    <t>No result from solr with DOI ['10.1103/PhysRevD.107.024019'] in pubnote.</t>
  </si>
  <si>
    <t>{'abstract': 1.0, 'title': 0.62, 'author': 1, 'year': 1}</t>
  </si>
  <si>
    <t>No result from solr with DOI ['10.1088/0256-307X/40/2/021301'] in pubnote.</t>
  </si>
  <si>
    <t>No result from solr with DOI ['10.4171/aihpc/36'] in pubnote.</t>
  </si>
  <si>
    <t>{'abstract': None, 'title': 0.84, 'author': 1, 'year': 0.5}</t>
  </si>
  <si>
    <t>No result from solr with DOI ['10.1109/TSP.2023.3234460'] in pubnote.</t>
  </si>
  <si>
    <t>{'abstract': None, 'title': 0.95, 'author': 0.67, 'year': 0.75}</t>
  </si>
  <si>
    <t>No result from solr with DOI ['10.1088/1361-6528/acabd1'] in pubnote.</t>
  </si>
  <si>
    <t>{'abstract': 0.99, 'title': 0.63, 'author': 0.75, 'year': 1}</t>
  </si>
  <si>
    <t>No result from solr with DOI ['10.1103/PhysRevC.107.014317'] in pubnote.</t>
  </si>
  <si>
    <t>{'abstract': 0.97, 'title': 0.67, 'author': 1, 'year': 1}</t>
  </si>
  <si>
    <t>No result from solr with DOI ['10.1103/PhysRevFluids.8.L012102'] in pubnote.</t>
  </si>
  <si>
    <t>No result from solr with DOI ['10.1088/1361-6471/acaffa'] in pubnote.</t>
  </si>
  <si>
    <t>{'abstract': 0.71, 'title': 0.92, 'author': 1, 'year': 1}</t>
  </si>
  <si>
    <t>No result from solr with DOI ['10.1038/s41586-022-05393-7'] in pubnote.</t>
  </si>
  <si>
    <t>No result from solr with DOI ['10.1016/j.jcp.2023.111923'] in pubnote.</t>
  </si>
  <si>
    <t>{'abstract': 1.0, 'title': 0.91, 'author': 1, 'year': 0.25}</t>
  </si>
  <si>
    <t>No result from solr with DOI ['10.1038/s41598-023-27619-y'] in pubnote.</t>
  </si>
  <si>
    <t>No result from solr with DOI ['10.1016/j.physa.2023.128480'] in pubnote.</t>
  </si>
  <si>
    <t>{'abstract': 1.0, 'title': 0.66, 'author': 1, 'year': 0.75}</t>
  </si>
  <si>
    <t>No result from solr with DOI ['10.1016/j.aop.2023.169217'] in pubnote.</t>
  </si>
  <si>
    <t>{'abstract': 0.98, 'title': 0.67, 'author': 1, 'year': 1}</t>
  </si>
  <si>
    <t>No result from solr with DOI ['10.1103/PhysRevE.107.014404'] in pubnote.</t>
  </si>
  <si>
    <t>{'abstract': 0.99, 'title': 0.66, 'author': 1, 'year': 1}</t>
  </si>
  <si>
    <t>No result from solr with DOI ['10.1016/j.chaos.2023.113128'] in pubnote.</t>
  </si>
  <si>
    <t>{'abstract': 0.97, 'title': 0.69, 'author': 1, 'year': 1}</t>
  </si>
  <si>
    <t>No result from solr with DOI ['10.1016/j.cnsns.2023.107092'] in pubnote.</t>
  </si>
  <si>
    <t>{'abstract': 0.83, 'title': 0.93, 'author': 0.67, 'year': 0.75}</t>
  </si>
  <si>
    <t>No result from solr with DOI ['10.1103/PhysRevB.107.045120'] in pubnote.</t>
  </si>
  <si>
    <t>{'abstract': 1.0, 'title': 0.67, 'author': 1, 'year': 1}</t>
  </si>
  <si>
    <t>No result from solr with DOI ['10.1103/PhysRevA.107.013307'] in pubnote.</t>
  </si>
  <si>
    <t>{'abstract': 0.8, 'title': 0.92, 'author': 1, 'year': 1}</t>
  </si>
  <si>
    <t>No result from solr with DOI ['10.1103/PhysRevApplied.19.014061'] in pubnote.</t>
  </si>
  <si>
    <t>{'abstract': 0.89, 'title': 0.86, 'author': 1, 'year': 0.75}</t>
  </si>
  <si>
    <t>No result from solr with DOI ['10.1137/21M1466542'] in pubnote.</t>
  </si>
  <si>
    <t>{'abstract': None, 'title': 0.78, 'author': 1, 'year': 0.75}</t>
  </si>
  <si>
    <t>No result from solr with DOI ['10.1103/PhysRevD.107.013006'] in pubnote.</t>
  </si>
  <si>
    <t>{'abstract': 0.99, 'title': 0.69, 'author': 1, 'year': 1}</t>
  </si>
  <si>
    <t>No result from solr with DOI ['10.1016/j.jcp.2023.111921'] in pubnote.</t>
  </si>
  <si>
    <t>{'abstract': 0.86, 'title': 0.92, 'author': 1, 'year': 0.75}</t>
  </si>
  <si>
    <t>No result from solr with DOI ['10.1088/1751-8121/acad4c'] in pubnote.</t>
  </si>
  <si>
    <t>{'abstract': 1.0, 'title': 0.69, 'author': 1, 'year': 1}</t>
  </si>
  <si>
    <t>No result from solr with DOI ['10.1088/1402-4896/acb17c'] in pubnote.</t>
  </si>
  <si>
    <t>{'abstract': 0.99, 'title': 0.94, 'author': 0, 'year': 0.75}</t>
  </si>
  <si>
    <t>No result from solr with DOI ['10.1103/PhysRevD.107.012002'] in pubnote.</t>
  </si>
  <si>
    <t>{'abstract': 1.0, 'title': 0.67, 'author': 0.3, 'year': 1}</t>
  </si>
  <si>
    <t>No result from solr with DOI ['10.1103/PhysRevB.107.024305'] in pubnote.</t>
  </si>
  <si>
    <t>{'abstract': 0.98, 'title': 0.72, 'author': 1, 'year': 1}</t>
  </si>
  <si>
    <t>No result from solr with DOI ['10.1142/S0217732322502066'] in pubnote.</t>
  </si>
  <si>
    <t>No result from solr with DOI ['10.1103/PhysRevMaterials.7.013604'] in pubnote.</t>
  </si>
  <si>
    <t>{'abstract': 0.79, 'title': 0.9, 'author': 0.67, 'year': 1}</t>
  </si>
  <si>
    <t>No result from solr with DOI ['10.1007/JHEP01(2023)055'] in pubnote.</t>
  </si>
  <si>
    <t>{'abstract': 0.99, 'title': 0.71, 'author': 0.99, 'year': 1}</t>
  </si>
  <si>
    <t>No result from solr with DOI ['10.1103/PhysRevE.107.014212'] in pubnote.</t>
  </si>
  <si>
    <t>{'abstract': 0.93, 'title': 0.79, 'author': 1, 'year': 1}</t>
  </si>
  <si>
    <t>No result from solr with DOI ['10.1364/OE.480107'] in pubnote.</t>
  </si>
  <si>
    <t>{'abstract': 1.0, 'title': 0.7, 'author': 0.89, 'year': 1}</t>
  </si>
  <si>
    <t>No result from solr with DOI ['10.1007/s00466-022-02262-y'] in pubnote.</t>
  </si>
  <si>
    <t>{'abstract': 0.79, 'title': 0.97, 'author': 1, 'year': 1}</t>
  </si>
  <si>
    <t>No result from solr with DOI ['10.1103/PhysRevD.107.026015'] in pubnote.</t>
  </si>
  <si>
    <t>{'abstract': 0.99, 'title': 0.76, 'author': 1, 'year': 0.75}</t>
  </si>
  <si>
    <t>No result from solr with DOI ['10.3390/rs15020521'] in pubnote.</t>
  </si>
  <si>
    <t>{'abstract': 0.76, 'title': 1.0, 'author': 0.88, 'year': 1}</t>
  </si>
  <si>
    <t>No result from solr with DOI ['10.1103/PhysRevLett.130.033601'] in pubnote.</t>
  </si>
  <si>
    <t>{'abstract': 0.84, 'title': 0.92, 'author': 1, 'year': 1}</t>
  </si>
  <si>
    <t>No result from solr with DOI ['10.1103/PhysRevC.107.015502'] in pubnote.</t>
  </si>
  <si>
    <t>{'abstract': 0.89, 'title': 0.92, 'author': 1, 'year': 0.75}</t>
  </si>
  <si>
    <t>No result from solr with DOI ['10.1038/s41567-022-01815-5'] in pubnote.</t>
  </si>
  <si>
    <t>{'abstract': 0.84, 'title': 1.0, 'author': 1, 'year': 0.75}</t>
  </si>
  <si>
    <t>No result from solr with DOI ['10.1103/PhysRevE.107.014126'] in pubnote.</t>
  </si>
  <si>
    <t>{'abstract': 0.99, 'title': 0.9, 'author': 1, 'year': 0.5}</t>
  </si>
  <si>
    <t>No result from solr with DOI ['10.1038/s41566-022-01119-3'] in pubnote.</t>
  </si>
  <si>
    <t>{'abstract': 0.99, 'title': 0.74, 'author': 1, 'year': 1}</t>
  </si>
  <si>
    <t>No result from solr with DOI ['10.1103/PhysRevB.107.014307'] in pubnote.</t>
  </si>
  <si>
    <t>No result from solr with DOI ['10.1103/PhysRevD.107.022007'] in pubnote.</t>
  </si>
  <si>
    <t>No result from solr with DOI ['10.1016/j.cjph.2022.09.010'] in pubnote.</t>
  </si>
  <si>
    <t>{'abstract': None, 'title': 0.89, 'author': 1, 'year': 0.5}</t>
  </si>
  <si>
    <t>No result from solr with DOI ['10.1017/S1431927622012090'] in pubnote.</t>
  </si>
  <si>
    <t>{'abstract': 1.0, 'title': 0.76, 'author': 1, 'year': 0.75}</t>
  </si>
  <si>
    <t>No result from solr with DOI ['10.1140/epjp/s13360-022-03631-5'] in pubnote.</t>
  </si>
  <si>
    <t>{'abstract': 0.99, 'title': 0.93, 'author': 0.75, 'year': 0.5}</t>
  </si>
  <si>
    <t>No result from solr with DOI ['10.1002/andp.202200261'] in pubnote.</t>
  </si>
  <si>
    <t>{'abstract': None, 'title': 0.81, 'author': 1, 'year': 0.75}</t>
  </si>
  <si>
    <t>No result from solr with DOI ['10.1038/s41598-022-27012-1'] in pubnote.</t>
  </si>
  <si>
    <t>No result from solr with DOI ['10.1103/PhysRevB.107.L020408'] in pubnote.</t>
  </si>
  <si>
    <t>{'abstract': 1.0, 'title': 0.74, 'author': 1, 'year': 1}</t>
  </si>
  <si>
    <t>No result from solr with DOI ['10.1103/PhysRevLett.130.030602'] in pubnote.</t>
  </si>
  <si>
    <t>No result from solr with DOI ['10.1007/s00220-022-04499-3'] in pubnote.</t>
  </si>
  <si>
    <t>{'abstract': 1.0, 'title': 0.91, 'author': 1, 'year': 0.5}</t>
  </si>
  <si>
    <t>No result from solr with DOI ['10.1016/j.jde.2023.01.006'] in pubnote.</t>
  </si>
  <si>
    <t>No result from solr with DOI ['10.1103/PhysRevD.107.025010'] in pubnote.</t>
  </si>
  <si>
    <t>{'abstract': 0.99, 'title': 0.76, 'author': 1, 'year': 1}</t>
  </si>
  <si>
    <t>No result from solr with DOI ['10.1103/PhysRevD.107.026014'] in pubnote.</t>
  </si>
  <si>
    <t>No result from solr with DOI ['10.1088/1751-8121/acb115'] in pubnote.</t>
  </si>
  <si>
    <t>No result from solr with DOI ['10.1103/PhysRevD.107.023520'] in pubnote.</t>
  </si>
  <si>
    <t>{'abstract': 0.95, 'title': 1.0, 'author': 1, 'year': 0.5}</t>
  </si>
  <si>
    <t>delete</t>
  </si>
  <si>
    <t>{'abstract': 0.89, 'title': 0.9, 'author': 1, 'year': 1, 'doi': 1}</t>
  </si>
  <si>
    <t>No result from solr with DOI ['10.1103/PhysRevLett.130.041901'] in pubnote.</t>
  </si>
  <si>
    <t>{'abstract': 1.0, 'title': 0.75, 'author': 1, 'year': 1}</t>
  </si>
  <si>
    <t>No result from solr with DOI ['10.1007/s00205-022-01837-6'] in pubnote.</t>
  </si>
  <si>
    <t>{'abstract': 0.99, 'title': 0.8, 'author': 1, 'year': 0.75}</t>
  </si>
  <si>
    <t>No result from solr with DOI ['10.1103/PhysRevA.107.012813'] in pubnote.</t>
  </si>
  <si>
    <t>{'abstract': 0.98, 'title': 0.78, 'author': 1, 'year': 1}</t>
  </si>
  <si>
    <t>No result from solr with DOI ['10.1103/PhysRevApplied.19.014055'] in pubnote.</t>
  </si>
  <si>
    <t>{'abstract': 0.94, 'title': 0.83, 'author': 1, 'year': 1}</t>
  </si>
  <si>
    <t>No result from solr with DOI ['10.1088/1741-2552/acae06'] in pubnote.</t>
  </si>
  <si>
    <t>{'abstract': 0.9, 'title': 0.88, 'author': 1, 'year': 1}</t>
  </si>
  <si>
    <t>No result from solr with DOI ['10.1007/JHEP01(2023)059'] in pubnote.</t>
  </si>
  <si>
    <t>{'abstract': 1.0, 'title': 0.92, 'author': 1, 'year': 0.5}</t>
  </si>
  <si>
    <t>No result from solr with DOI ['10.1103/PhysRevE.107.014604'] in pubnote.</t>
  </si>
  <si>
    <t>{'abstract': 0.99, 'title': 0.77, 'author': 1, 'year': 1}</t>
  </si>
  <si>
    <t>No result from solr with DOI ['10.1088/0256-307X/40/2/027501'] in pubnote.</t>
  </si>
  <si>
    <t>No result from solr with DOI ['10.1002/andp.202200287'] in pubnote.</t>
  </si>
  <si>
    <t>{'abstract': None, 'title': 0.82, 'author': 1, 'year': 0.75}</t>
  </si>
  <si>
    <t>{'abstract': 0.81, 'title': 1.0, 'author': 1, 'year': 1}</t>
  </si>
  <si>
    <t>No result from solr with DOI ['10.1039/D2NA00723A'] in pubnote.</t>
  </si>
  <si>
    <t>{'abstract': 0.82, 'title': 0.99, 'author': 1, 'year': 1}</t>
  </si>
  <si>
    <t>No result from solr with DOI ['10.1088/1361-6439/acaff3'] in pubnote.</t>
  </si>
  <si>
    <t>{'abstract': 0.98, 'title': 1.0, 'author': 0.75, 'year': 0.5}</t>
  </si>
  <si>
    <t>No result from solr with DOI ['10.3390/condmat8010012'] in pubnote.</t>
  </si>
  <si>
    <t>{'abstract': 0.97, 'title': 0.93, 'author': 0, 'year': 1}</t>
  </si>
  <si>
    <t>No result from solr with DOI ['10.1103/PhysRevC.107.015204'] in pubnote.</t>
  </si>
  <si>
    <t>{'abstract': 0.95, 'title': 0.83, 'author': 1, 'year': 1}</t>
  </si>
  <si>
    <t>No result from solr with DOI ['10.3390/sym15020282'] in pubnote.</t>
  </si>
  <si>
    <t>{'abstract': 0.98, 'title': 0.75, 'author': 0.3, 'year': 1}</t>
  </si>
  <si>
    <t>No result from solr with DOI ['10.1103/PhysRevResearch.5.013016'] in pubnote.</t>
  </si>
  <si>
    <t>{'abstract': 0.99, 'title': 0.95, 'author': 1, 'year': 0.5}</t>
  </si>
  <si>
    <t>No result from solr with DOI ['10.1103/PhysRevD.107.015016'] in pubnote.</t>
  </si>
  <si>
    <t>{'abstract': 0.9, 'title': 0.9, 'author': 1, 'year': 1}</t>
  </si>
  <si>
    <t>No result from solr with DOI ['10.1103/PhysRevE.107.014304'] in pubnote.</t>
  </si>
  <si>
    <t>{'abstract': 0.96, 'title': 0.88, 'author': 1, 'year': 0.75}</t>
  </si>
  <si>
    <t>No result from solr with DOI ['10.1007/s00205-022-01836-7'] in pubnote.</t>
  </si>
  <si>
    <t>{'abstract': 0.99, 'title': 0.84, 'author': 1, 'year': 0.75}</t>
  </si>
  <si>
    <t>No result from solr with DOI ['10.3390/photonics10020108'] in pubnote.</t>
  </si>
  <si>
    <t>{'abstract': 0.9, 'title': 0.91, 'author': 1, 'year': 1}</t>
  </si>
  <si>
    <t>No result from solr with DOI ['10.1007/JHEP01(2023)026'] in pubnote.</t>
  </si>
  <si>
    <t>{'abstract': 1.0, 'title': 0.79, 'author': 1, 'year': 1}</t>
  </si>
  <si>
    <t>No result from solr with DOI ['10.1017/jfm.2022.1039'] in pubnote.</t>
  </si>
  <si>
    <t>{'abstract': 0.96, 'title': 0.84, 'author': 1, 'year': 1}</t>
  </si>
  <si>
    <t>No result from solr with DOI ['10.1140/epjp/s13360-022-03630-6'] in pubnote.</t>
  </si>
  <si>
    <t>{'abstract': 0.89, 'title': 0.93, 'author': 1, 'year': 1}</t>
  </si>
  <si>
    <t>No result from solr with DOI ['10.1063/5.0096320'] in pubnote.</t>
  </si>
  <si>
    <t>{'abstract': 0.98, 'title': 0.94, 'author': 0, 'year': 1}</t>
  </si>
  <si>
    <t>No result from solr with DOI ['10.1103/PhysRevLett.130.038202'] in pubnote.</t>
  </si>
  <si>
    <t>{'abstract': 0.96, 'title': 0.9, 'author': 1, 'year': 0.75}</t>
  </si>
  <si>
    <t>No result from solr with DOI ['10.1103/PhysRevD.107.023519'] in pubnote.</t>
  </si>
  <si>
    <t>{'abstract': 0.96, 'title': 0.85, 'author': 1, 'year': 1}</t>
  </si>
  <si>
    <t>No result from solr with DOI ['10.1103/PhysRevB.107.045128'] in pubnote.</t>
  </si>
  <si>
    <t>{'abstract': 0.92, 'title': 0.9, 'author': 1, 'year': 1}</t>
  </si>
  <si>
    <t>No result from solr with DOI ['10.1007/s10955-023-03067-w'] in pubnote.</t>
  </si>
  <si>
    <t>{'abstract': 0.97, 'title': 0.89, 'author': 1, 'year': 0.75}</t>
  </si>
  <si>
    <t>No result from solr with DOI ['10.1103/PhysRevB.107.L020405'] in pubnote.</t>
  </si>
  <si>
    <t>{'abstract': 0.94, 'title': 0.87, 'author': 0.86, 'year': 1}</t>
  </si>
  <si>
    <t>No result from solr with DOI ['10.1103/PhysRevLett.130.040201'] in pubnote.</t>
  </si>
  <si>
    <t>{'abstract': 0.97, 'title': 0.82, 'author': 0.26, 'year': 1}</t>
  </si>
  <si>
    <t>No result from solr with DOI ['10.1016/j.chaos.2023.113117'] in pubnote.</t>
  </si>
  <si>
    <t>{'abstract': 0.97, 'title': 0.98, 'author': 0, 'year': 1}</t>
  </si>
  <si>
    <t>No result from solr with DOI ['10.1103/PhysRevLett.130.033002'] in pubnote.</t>
  </si>
  <si>
    <t>{'abstract': 0.91, 'title': 0.92, 'author': 1, 'year': 1}</t>
  </si>
  <si>
    <t>No result from solr with DOI ['10.1103/PhysRevD.107.015013'] in pubnote.</t>
  </si>
  <si>
    <t>{'abstract': 0.95, 'title': 0.9, 'author': 0.15, 'year': 1}</t>
  </si>
  <si>
    <t>No result from solr with DOI ['10.1063/5.0131188'] in pubnote.</t>
  </si>
  <si>
    <t>{'abstract': 1.0, 'title': 0.81, 'author': 1, 'year': 1}</t>
  </si>
  <si>
    <t>No result from solr with DOI ['10.1063/9.0000401'] in pubnote.</t>
  </si>
  <si>
    <t>No result from solr with DOI ['10.1103/PhysRevApplied.19.014044'] in pubnote.</t>
  </si>
  <si>
    <t>{'abstract': 0.96, 'title': 0.85, 'author': 0.78, 'year': 1}</t>
  </si>
  <si>
    <t>No result from solr with DOI ['10.1007/JHEP01(2023)069'] in pubnote.</t>
  </si>
  <si>
    <t>{'abstract': 0.97, 'title': 0.85, 'author': 1, 'year': 1}</t>
  </si>
  <si>
    <t>No result from solr with DOI ['10.3390/e25020191'] in pubnote.</t>
  </si>
  <si>
    <t>{'abstract': 0.96, 'title': 0.92, 'author': 1, 'year': 0.75}</t>
  </si>
  <si>
    <t>No result from solr with DOI ['10.1137/22M1482081'] in pubnote.</t>
  </si>
  <si>
    <t>{'abstract': None, 'title': 0.79, 'author': 1, 'year': 1}</t>
  </si>
  <si>
    <t>No result from solr with DOI ['10.1007/s00205-022-01839-4'] in pubnote.</t>
  </si>
  <si>
    <t>{'abstract': 1.0, 'title': 1.0, 'author': 1, 'year': 0.5}</t>
  </si>
  <si>
    <t>No result from solr with DOI ['10.1007/JHEP01(2023)057'] in pubnote.</t>
  </si>
  <si>
    <t>No result from solr with DOI ['10.22331/q-2018-01-31-50'] in pubnote.</t>
  </si>
  <si>
    <t>No result from solr with DOI ['10.1007/s11128-022-03782-5'] in pubnote.</t>
  </si>
  <si>
    <t>{'abstract': 0.92, 'title': 0.99, 'author': 1, 'year': 0.75}</t>
  </si>
  <si>
    <t>No result from solr with DOI ['10.1016/j.jcp.2023.111910'] in pubnote.</t>
  </si>
  <si>
    <t>{'abstract': 1.0, 'title': 0.92, 'author': 0, 'year': 1}</t>
  </si>
  <si>
    <t>No result from solr with DOI ['10.1103/PhysRevA.107.012612'] in pubnote.</t>
  </si>
  <si>
    <t>{'abstract': 0.98, 'title': 0.85, 'author': 1, 'year': 1}</t>
  </si>
  <si>
    <t>No result from solr with DOI ['10.1038/s41558-022-01558-4'] in pubnote.</t>
  </si>
  <si>
    <t>{'abstract': 0.9, 'title': 0.95, 'author': 1, 'year': 1}</t>
  </si>
  <si>
    <t>No result from solr with DOI ['10.1007/s11005-023-01632-8'] in pubnote.</t>
  </si>
  <si>
    <t>{'abstract': 0.98, 'title': 0.85, 'author': 0.5, 'year': 1}</t>
  </si>
  <si>
    <t>No result from solr with DOI ['10.1103/PhysRevB.107.L041301'] in pubnote.</t>
  </si>
  <si>
    <t>No result from solr with DOI ['10.1103/PhysRevAccelBeams.26.014402'] in pubnote.</t>
  </si>
  <si>
    <t>{'abstract': 0.86, 'title': 1.0, 'author': 1, 'year': 1}</t>
  </si>
  <si>
    <t>No result from solr with DOI ['10.1175/JAS-D-21-0329.1'] in pubnote.</t>
  </si>
  <si>
    <t>{'abstract': 0.99, 'title': 0.89, 'author': 1, 'year': 0.75}</t>
  </si>
  <si>
    <t>No result from solr with DOI ['10.1007/s11128-022-03813-1'] in pubnote.</t>
  </si>
  <si>
    <t>{'abstract': 1.0, 'title': 1.0, 'author': 0, 'year': 1}</t>
  </si>
  <si>
    <t>No result from solr with DOI ['10.1103/PhysRevB.107.L020406'] in pubnote.</t>
  </si>
  <si>
    <t>No result from solr with DOI ['10.1103/PhysRevX.13.011006'] in pubnote.</t>
  </si>
  <si>
    <t>{'abstract': 0.98, 'title': 0.9, 'author': 0.25, 'year': 1}</t>
  </si>
  <si>
    <t>No result from solr with DOI ['10.1103/PhysRevLett.130.036801'] in pubnote.</t>
  </si>
  <si>
    <t>{'abstract': 0.98, 'title': 0.86, 'author': 1, 'year': 1}</t>
  </si>
  <si>
    <t>No result from solr with DOI ['10.1007/s00220-023-04636-6'] in pubnote.</t>
  </si>
  <si>
    <t>{'abstract': 0.97, 'title': 0.93, 'author': 1, 'year': 0.75}</t>
  </si>
  <si>
    <t>No result from solr with DOI ['10.4171/aihpc/34'] in pubnote.</t>
  </si>
  <si>
    <t>{'abstract': None, 'title': 0.94, 'author': 1, 'year': 0.5}</t>
  </si>
  <si>
    <t>No result from solr with DOI ['10.1103/PhysRevApplied.19.014058'] in pubnote.</t>
  </si>
  <si>
    <t>{'abstract': 0.98, 'title': 0.92, 'author': 0.3, 'year': 1}</t>
  </si>
  <si>
    <t>No result from solr with DOI ['10.1088/1402-4896/acb23d'] in pubnote.</t>
  </si>
  <si>
    <t>{'abstract': 0.98, 'title': 0.92, 'author': 1, 'year': 0.75}</t>
  </si>
  <si>
    <t>No result from solr with DOI ['10.1103/PhysRevC.107.014612'] in pubnote.</t>
  </si>
  <si>
    <t>{'abstract': 1.0, 'title': 0.84, 'author': 1, 'year': 1}</t>
  </si>
  <si>
    <t>No result from solr with DOI ['10.1103/PhysRevD.107.023523'] in pubnote.</t>
  </si>
  <si>
    <t>No result from solr with DOI ['10.1038/s41535-022-00522-x'] in pubnote.</t>
  </si>
  <si>
    <t>{'abstract': 1.0, 'title': 0.89, 'author': 0.94, 'year': 0.75}</t>
  </si>
  <si>
    <t>No result from solr with DOI ['10.1007/s10509-022-04160-4'] in pubnote.</t>
  </si>
  <si>
    <t>{'abstract': 1.0, 'title': 0.88, 'author': 0.3, 'year': 1}</t>
  </si>
  <si>
    <t>No result from solr with DOI ['10.1063/5.0131603'] in pubnote.</t>
  </si>
  <si>
    <t>{'abstract': 0.93, 'title': 0.93, 'author': 1, 'year': 1}</t>
  </si>
  <si>
    <t>No result from solr with DOI ['10.1103/PhysRevResearch.5.013027'] in pubnote.</t>
  </si>
  <si>
    <t>{'abstract': 1.0, 'title': 1.0, 'author': 0.5, 'year': 0.75}</t>
  </si>
  <si>
    <t>No result from solr with DOI ['10.1103/PhysRevB.107.L041201'] in pubnote.</t>
  </si>
  <si>
    <t>{'abstract': 0.98, 'title': 0.87, 'author': 1, 'year': 1}</t>
  </si>
  <si>
    <t>No result from solr with DOI ['10.1088/1361-6382/acafcf'] in pubnote.</t>
  </si>
  <si>
    <t>{'abstract': 0.94, 'title': 0.92, 'author': 1, 'year': 1}</t>
  </si>
  <si>
    <t>No result from solr with DOI ['10.1088/2058-9565/acaf9d'] in pubnote.</t>
  </si>
  <si>
    <t>{'abstract': 1.0, 'title': 0.92, 'author': 0.67, 'year': 0.75}</t>
  </si>
  <si>
    <t>No result from solr with DOI ['10.1088/1755-1315/1136/1/012018'] in pubnote.</t>
  </si>
  <si>
    <t>{'abstract': 1.0, 'title': 0.84, 'author': 0.88, 'year': 1}</t>
  </si>
  <si>
    <t>No result from solr with DOI ['10.1103/PhysRevB.107.L041106'] in pubnote.</t>
  </si>
  <si>
    <t>{'abstract': 0.99, 'title': 0.86, 'author': 1, 'year': 1}</t>
  </si>
  <si>
    <t>No result from solr with DOI ['10.1007/JHEP01(2023)044'] in pubnote.</t>
  </si>
  <si>
    <t>{'abstract': 0.94, 'title': 0.91, 'author': 0.67, 'year': 1}</t>
  </si>
  <si>
    <t>No result from solr with DOI ['10.1016/j.nima.2023.168041'] in pubnote.</t>
  </si>
  <si>
    <t>{'abstract': 0.98, 'title': 0.93, 'author': 1, 'year': 0.75}</t>
  </si>
  <si>
    <t>No result from solr with DOI ['10.1016/j.patcog.2023.109308'] in pubnote.</t>
  </si>
  <si>
    <t>{'abstract': 1.0, 'title': 0.9, 'author': 1, 'year': 0.75}</t>
  </si>
  <si>
    <t>No result from solr with DOI ['10.1103/PhysRevE.107.015104'] in pubnote.</t>
  </si>
  <si>
    <t>{'abstract': None, 'title': 0.78, 'author': 1, 'year': 1, 'doi': 1}</t>
  </si>
  <si>
    <t>No result from solr with DOI ['10.1007/JHEP01(2023)041'] in pubnote.</t>
  </si>
  <si>
    <t>{'abstract': 1.0, 'title': 0.85, 'author': 1, 'year': 1}</t>
  </si>
  <si>
    <t>No result from solr with DOI ['10.1007/JHEP01(2023)073'] in pubnote.</t>
  </si>
  <si>
    <t>No result from solr with DOI ['10.1103/PhysRevA.107.012816'] in pubnote.</t>
  </si>
  <si>
    <t>{'abstract': 0.96, 'title': 0.9, 'author': 1, 'year': 1}</t>
  </si>
  <si>
    <t>No result from solr with DOI ['10.1140/epjc/s10052-023-11183-w'] in pubnote.</t>
  </si>
  <si>
    <t>{'abstract': 0.97, 'title': 0.89, 'author': 1, 'year': 1}</t>
  </si>
  <si>
    <t>No result from solr with DOI ['10.1103/PhysRevResearch.5.L012005'] in pubnote.</t>
  </si>
  <si>
    <t>{'abstract': 0.99, 'title': 0.92, 'author': 1, 'year': 0.75}</t>
  </si>
  <si>
    <t>No result from solr with DOI ['10.1103/PhysRevA.107.013714'] in pubnote.</t>
  </si>
  <si>
    <t>{'abstract': 0.98, 'title': 0.88, 'author': 1, 'year': 1}</t>
  </si>
  <si>
    <t>No result from solr with DOI ['10.1103/PhysRevApplied.19.014059'] in pubnote.</t>
  </si>
  <si>
    <t>{'abstract': 0.98, 'title': 0.94, 'author': 1, 'year': 0.75}</t>
  </si>
  <si>
    <t>No result from solr with DOI ['10.1007/s00220-023-04634-8'] in pubnote.</t>
  </si>
  <si>
    <t>{'abstract': 1.0, 'title': 0.91, 'author': 1, 'year': 0.75}</t>
  </si>
  <si>
    <t>No result from solr with DOI ['10.1007/JHEP01(2023)038'] in pubnote.</t>
  </si>
  <si>
    <t>No result from solr with DOI ['10.1016/j.jde.2022.12.041'] in pubnote.</t>
  </si>
  <si>
    <t>No result from solr with DOI ['10.1103/PhysRevB.107.045129'] in pubnote.</t>
  </si>
  <si>
    <t>No result from solr with DOI ['10.1007/s11128-022-03806-0'] in pubnote.</t>
  </si>
  <si>
    <t>{'abstract': 1.0, 'title': 0.86, 'author': 1, 'year': 1}</t>
  </si>
  <si>
    <t>No result from solr with DOI ['10.1007/JHEP01(2023)023'] in pubnote.</t>
  </si>
  <si>
    <t>No result from solr with DOI ['10.1103/PhysRevD.107.023522'] in pubnote.</t>
  </si>
  <si>
    <t>No result from solr with DOI ['10.1103/PhysRevA.107.012421'] in pubnote.</t>
  </si>
  <si>
    <t>{'abstract': 0.96, 'title': 0.91, 'author': 1, 'year': 1}</t>
  </si>
  <si>
    <t>No result from solr with DOI ['10.3390/particles6010005'] in pubnote.</t>
  </si>
  <si>
    <t>No result from solr with DOI ['10.1007/JHEP01(2023)091'] in pubnote.</t>
  </si>
  <si>
    <t>{'abstract': 1.0, 'title': 0.9, 'author': 0.5, 'year': 1}</t>
  </si>
  <si>
    <t>No result from solr with DOI ['10.1088/1361-6471/ac865e'] in pubnote.</t>
  </si>
  <si>
    <t>{'abstract': 1.0, 'title': 1.0, 'author': 0.28, 'year': 1}</t>
  </si>
  <si>
    <t>{'abstract': 0.89, 'title': 0.47, 'author': 1, 'year': 1, 'doi': 1}</t>
  </si>
  <si>
    <t>No result from solr with DOI ['10.1017/jfm.2022.1071'] in pubnote.</t>
  </si>
  <si>
    <t>{'abstract': 0.99, 'title': 1.0, 'author': 0.33, 'year': 1}</t>
  </si>
  <si>
    <t>No result from solr with DOI ['10.1103/PhysRevLett.130.030601'] in pubnote.</t>
  </si>
  <si>
    <t>{'abstract': 0.98, 'title': 0.89, 'author': 1, 'year': 1}</t>
  </si>
  <si>
    <t>No result from solr with DOI ['10.2514/1.A35396'] in pubnote.</t>
  </si>
  <si>
    <t>{'abstract': 0.98, 'title': 0.95, 'author': 1, 'year': 0.75}</t>
  </si>
  <si>
    <t>No result from solr with DOI ['10.1103/PhysRevLett.130.037001'] in pubnote.</t>
  </si>
  <si>
    <t>{'abstract': 0.99, 'title': 0.93, 'author': 0.5, 'year': 1}</t>
  </si>
  <si>
    <t>No result from solr with DOI ['10.1038/s41534-022-00672-7'] in pubnote.</t>
  </si>
  <si>
    <t>{'abstract': 1.0, 'title': 0.91, 'author': 0.5, 'year': 1}</t>
  </si>
  <si>
    <t>No result from solr with DOI ['10.1103/PhysRevC.107.014909'] in pubnote.</t>
  </si>
  <si>
    <t>{'abstract': 1.0, 'title': 0.92, 'author': 1, 'year': 0.75}</t>
  </si>
  <si>
    <t>No result from solr with DOI ['10.1038/s41563-022-01444-6'] in pubnote.</t>
  </si>
  <si>
    <t>{'abstract': 0.99, 'title': 0.88, 'author': 1, 'year': 1}</t>
  </si>
  <si>
    <t>No result from solr with DOI ['10.1364/OE.477959'] in pubnote.</t>
  </si>
  <si>
    <t>{'abstract': 0.91, 'title': 0.98, 'author': 1, 'year': 1}</t>
  </si>
  <si>
    <t>No result from solr with DOI ['10.1016/j.optlastec.2023.109173'] in pubnote.</t>
  </si>
  <si>
    <t>{'abstract': 1.0, 'title': 1.0, 'author': 0.33, 'year': 1}</t>
  </si>
  <si>
    <t>No result from solr with DOI ['10.1016/j.chaos.2023.113113'] in pubnote.</t>
  </si>
  <si>
    <t>No result from solr with DOI ['10.1103/PhysRevB.107.035421'] in pubnote.</t>
  </si>
  <si>
    <t>{'abstract': 1.0, 'title': 0.87, 'author': 1, 'year': 1}</t>
  </si>
  <si>
    <t>No result from solr with DOI ['10.1103/PhysRevD.107.026012'] in pubnote.</t>
  </si>
  <si>
    <t>{'abstract': 1.0, 'title': 0.92, 'author': 0.5, 'year': 1}</t>
  </si>
  <si>
    <t>No result from solr with DOI ['10.1007/JHEP01(2023)067'] in pubnote.</t>
  </si>
  <si>
    <t>{'abstract': 0.96, 'title': 0.92, 'author': 1, 'year': 1}</t>
  </si>
  <si>
    <t>No result from solr with DOI ['10.1016/j.patcog.2023.109320'] in pubnote.</t>
  </si>
  <si>
    <t>{'abstract': 0.97, 'title': 0.91, 'author': 1, 'year': 1}</t>
  </si>
  <si>
    <t>No result from solr with DOI ['10.1103/PhysRevB.107.045420'] in pubnote.</t>
  </si>
  <si>
    <t>No result from solr with DOI ['10.1103/PhysRevD.107.015018'] in pubnote.</t>
  </si>
  <si>
    <t>No result from solr with DOI ['10.1103/PhysRevFluids.8.013902'] in pubnote.</t>
  </si>
  <si>
    <t>{'abstract': 0.96, 'title': 0.99, 'author': 1, 'year': 0.75}</t>
  </si>
  <si>
    <t>No result from solr with DOI ['10.1088/1361-648X/acb2a6'] in pubnote.</t>
  </si>
  <si>
    <t>{'abstract': 0.98, 'title': 0.9, 'author': 1, 'year': 1}</t>
  </si>
  <si>
    <t>No result from solr with DOI ['10.1016/j.jcp.2022.111903'] in pubnote.</t>
  </si>
  <si>
    <t>{'abstract': 0.9, 'title': 1.0, 'author': 1, 'year': 1}</t>
  </si>
  <si>
    <t>No result from solr with DOI ['10.1103/PhysRevResearch.5.013020'] in pubnote.</t>
  </si>
  <si>
    <t>No result from solr with DOI ['10.1088/1751-8121/acb1de'] in pubnote.</t>
  </si>
  <si>
    <t>{'abstract': 0.95, 'title': 0.45, 'author': 1, 'year': 0.75, 'doi': 1}</t>
  </si>
  <si>
    <t>No result from solr with DOI ['10.1038/s41566-022-01107-7'] in pubnote.</t>
  </si>
  <si>
    <t>{'abstract': 0.99, 'title': 0.89, 'author': 1, 'year': 1}</t>
  </si>
  <si>
    <t>No result from solr with DOI ['10.1103/PhysRevA.107.012214'] in pubnote.</t>
  </si>
  <si>
    <t>No result from solr with DOI ['10.1103/PhysRevB.107.035121'] in pubnote.</t>
  </si>
  <si>
    <t>No result from solr with DOI ['10.1103/PhysRevC.107.014309'] in pubnote.</t>
  </si>
  <si>
    <t>No result from solr with DOI ['10.1103/PhysRevLett.130.030801'] in pubnote.</t>
  </si>
  <si>
    <t>No result from solr with DOI ['10.1103/PhysRevResearch.5.013034'] in pubnote.</t>
  </si>
  <si>
    <t>No result from solr with DOI ['10.1088/1367-2630/acaf15'] in pubnote.</t>
  </si>
  <si>
    <t>{'abstract': 0.97, 'title': 0.98, 'author': 1, 'year': 0.75}</t>
  </si>
  <si>
    <t>No result from solr with DOI ['10.1007/s11128-022-03814-0'] in pubnote.</t>
  </si>
  <si>
    <t>{'abstract': 0.99, 'title': 0.95, 'author': 1, 'year': 0.75}</t>
  </si>
  <si>
    <t>No result from solr with DOI ['10.1088/1748-0221/18/01/T01003'] in pubnote.</t>
  </si>
  <si>
    <t>{'abstract': 1.0, 'title': 0.88, 'author': 1, 'year': 1}</t>
  </si>
  <si>
    <t>No result from solr with DOI ['10.1103/PhysRevB.107.024507'] in pubnote.</t>
  </si>
  <si>
    <t>No result from solr with DOI ['10.3389/fphy.2022.1071971'] in pubnote.</t>
  </si>
  <si>
    <t>No result from solr with DOI ['10.1103/PhysRevFluids.8.014702'] in pubnote.</t>
  </si>
  <si>
    <t>{'abstract': 0.96, 'title': 1.0, 'author': 1, 'year': 0.75}</t>
  </si>
  <si>
    <t>No result from solr with DOI ['10.1007/s10955-023-03065-y'] in pubnote.</t>
  </si>
  <si>
    <t>{'abstract': 0.97, 'title': 0.92, 'author': 1, 'year': 1}</t>
  </si>
  <si>
    <t>No result from solr with DOI ['10.1016/j.geomphys.2022.104748'] in pubnote.</t>
  </si>
  <si>
    <t>{'abstract': 1.0, 'title': 0.94, 'author': 1, 'year': 0.75}</t>
  </si>
  <si>
    <t>No result from solr with DOI ['10.1088/1361-6471/ac98f9'] in pubnote.</t>
  </si>
  <si>
    <t>{'abstract': 0.99, 'title': 0.89, 'author': 0.87, 'year': 1}</t>
  </si>
  <si>
    <t>No result from solr with DOI ['10.1103/PhysRevMaterials.7.014408'] in pubnote.</t>
  </si>
  <si>
    <t>{'abstract': 0.98, 'title': 0.91, 'author': 0.67, 'year': 1}</t>
  </si>
  <si>
    <t>No result from solr with DOI ['10.1007/s11128-022-03800-6'] in pubnote.</t>
  </si>
  <si>
    <t>{'abstract': 0.98, 'title': 0.91, 'author': 1, 'year': 1}</t>
  </si>
  <si>
    <t>No result from solr with DOI ['10.1039/D2CP04259B'] in pubnote.</t>
  </si>
  <si>
    <t>{'abstract': 0.98, 'title': 1.0, 'author': 0.5, 'year': 1}</t>
  </si>
  <si>
    <t>No result from solr with DOI ['10.1038/s41566-022-01098-5'] in pubnote.</t>
  </si>
  <si>
    <t>{'abstract': 0.99, 'title': 0.9, 'author': 1, 'year': 1}</t>
  </si>
  <si>
    <t>No result from solr with DOI ['10.1007/JHEP01(2023)056'] in pubnote.</t>
  </si>
  <si>
    <t>No result from solr with DOI ['10.1103/PhysRevB.107.035414'] in pubnote.</t>
  </si>
  <si>
    <t>No result from solr with DOI ['10.1103/PhysRevD.107.023011'] in pubnote.</t>
  </si>
  <si>
    <t>No result from solr with DOI ['10.3390/ma16030953'] in pubnote.</t>
  </si>
  <si>
    <t>No result from solr with DOI ['10.1016/j.nima.2023.168017'] in pubnote.</t>
  </si>
  <si>
    <t>{'abstract': 0.99, 'title': 0.9, 'author': 0.98, 'year': 1}</t>
  </si>
  <si>
    <t>No result from solr with DOI ['10.1039/D2SM01395A'] in pubnote.</t>
  </si>
  <si>
    <t>{'abstract': 0.97, 'title': 0.93, 'author': 0.67, 'year': 1}</t>
  </si>
  <si>
    <t>No result from solr with DOI ['10.22331/q-2021-06-24-480'] in pubnote.</t>
  </si>
  <si>
    <t>{'abstract': 1.0, 'title': 1.0, 'author': 0.67, 'year': 0.75}</t>
  </si>
  <si>
    <t>No result from solr with DOI ['10.1016/j.patrec.2023.01.003'] in pubnote.</t>
  </si>
  <si>
    <t>{'abstract': 0.98, 'title': 0.91, 'author': 0.75, 'year': 1}</t>
  </si>
  <si>
    <t>No result from solr with DOI ['10.1007/JHEP01(2023)037'] in pubnote.</t>
  </si>
  <si>
    <t>{'abstract': 1.0, 'title': 0.89, 'author': 1, 'year': 1}</t>
  </si>
  <si>
    <t>No result from solr with DOI ['10.1103/PhysRevA.107.012215'] in pubnote.</t>
  </si>
  <si>
    <t>No result from solr with DOI ['10.1103/PhysRevB.107.045130'] in pubnote.</t>
  </si>
  <si>
    <t>No result from solr with DOI ['10.1103/PhysRevLett.130.043601'] in pubnote.</t>
  </si>
  <si>
    <t>No result from solr with DOI ['10.1088/1361-6382/acb0ac'] in pubnote.</t>
  </si>
  <si>
    <t>No result from solr with DOI ['10.1103/PhysRevD.107.023016'] in pubnote.</t>
  </si>
  <si>
    <t>{'abstract': 0.97, 'title': 0.92, 'author': 0.83, 'year': 1}</t>
  </si>
  <si>
    <t>No result from solr with DOI ['10.1016/j.patcog.2023.109312'] in pubnote.</t>
  </si>
  <si>
    <t>{'abstract': 1.0, 'title': 0.95, 'author': 1, 'year': 0.75}</t>
  </si>
  <si>
    <t>No result from solr with DOI ['10.1103/PRXQuantum.4.010309'] in pubnote.</t>
  </si>
  <si>
    <t>{'abstract': 0.99, 'title': 0.9, 'author': 0.75, 'year': 1}</t>
  </si>
  <si>
    <t>No result from solr with DOI ['10.1103/PhysRevMaterials.7.014003'] in pubnote.</t>
  </si>
  <si>
    <t>{'abstract': 0.97, 'title': 0.93, 'author': 1, 'year': 1}</t>
  </si>
  <si>
    <t>No result from solr with DOI ['10.1007/JHEP01(2023)082'] in pubnote.</t>
  </si>
  <si>
    <t>{'abstract': 0.99, 'title': 0.91, 'author': 0.67, 'year': 1}</t>
  </si>
  <si>
    <t>No result from solr with DOI ['10.1103/PhysRevResearch.5.013018'] in pubnote.</t>
  </si>
  <si>
    <t>{'abstract': 0.97, 'title': 1.0, 'author': 1, 'year': 0.75}</t>
  </si>
  <si>
    <t>No result from solr with DOI ['10.1103/PhysRevResearch.5.013026'] in pubnote.</t>
  </si>
  <si>
    <t>No result from solr with DOI ['10.3847/1538-4365/ac9583'] in pubnote.</t>
  </si>
  <si>
    <t>{'abstract': 0.98, 'title': 0.92, 'author': 1, 'year': 1}</t>
  </si>
  <si>
    <t>No result from solr with DOI ['10.1103/PhysRevD.107.015014'] in pubnote.</t>
  </si>
  <si>
    <t>No result from solr with DOI ['10.1103/PhysRevD.107.025011'] in pubnote.</t>
  </si>
  <si>
    <t>No result from solr with DOI ['10.1103/PhysRevLett.130.038201'] in pubnote.</t>
  </si>
  <si>
    <t>No result from solr with DOI ['10.1103/PRXQuantum.4.010306'] in pubnote.</t>
  </si>
  <si>
    <t>{'abstract': 1.0, 'title': 1.0, 'author': 0, 'year': 1, 'doi': 1}</t>
  </si>
  <si>
    <t>No result from solr with DOI ['10.1186/s40623-022-01752-w'] in pubnote.</t>
  </si>
  <si>
    <t>{'abstract': 0.98, 'title': 0.92, 'author': 0.98, 'year': 1}</t>
  </si>
  <si>
    <t>No result from solr with DOI ['10.1103/PhysRevApplied.19.014053'] in pubnote.</t>
  </si>
  <si>
    <t>{'abstract': 0.97, 'title': 0.93, 'author': 0.92, 'year': 1}</t>
  </si>
  <si>
    <t>No result from solr with DOI ['10.1557/s43579-023-00320-x'] in pubnote.</t>
  </si>
  <si>
    <t>{'abstract': 0.99, 'title': 0.91, 'author': 1, 'year': 1}</t>
  </si>
  <si>
    <t>No result from solr with DOI ['10.1103/PhysRevA.107.012810'] in pubnote.</t>
  </si>
  <si>
    <t>No result from solr with DOI ['10.1103/PhysRevB.107.014204'] in pubnote.</t>
  </si>
  <si>
    <t>No result from solr with DOI ['10.1103/PRXQuantum.4.010201'] in pubnote.</t>
  </si>
  <si>
    <t>No result from solr with DOI ['10.3390/e25020204'] in pubnote.</t>
  </si>
  <si>
    <t>{'abstract': None, 'title': 0.87, 'author': 1, 'year': 1, 'doi': 1}</t>
  </si>
  <si>
    <t>No result from solr with DOI ['10.1103/PhysRevLett.130.036901'] in pubnote.</t>
  </si>
  <si>
    <t>{'abstract': 0.98, 'title': 0.99, 'author': 1, 'year': 0.75}</t>
  </si>
  <si>
    <t>No result from solr with DOI ['10.1038/s41524-022-00955-9'] in pubnote.</t>
  </si>
  <si>
    <t>{'abstract': 1.0, 'title': 0.9, 'author': 1, 'year': 1}</t>
  </si>
  <si>
    <t>No result from solr with DOI ['10.1016/j.ymssp.2023.110120'] in pubnote.</t>
  </si>
  <si>
    <t>No result from solr with DOI ['10.1103/PhysRevE.107.014121'] in pubnote.</t>
  </si>
  <si>
    <t>No result from solr with DOI ['10.3390/e25020188'] in pubnote.</t>
  </si>
  <si>
    <t>No result from solr with DOI ['10.1017/S1431927622000824'] in pubnote.</t>
  </si>
  <si>
    <t>No result from solr with DOI ['10.1088/0256-307X/40/2/020501'] in pubnote.</t>
  </si>
  <si>
    <t>No result from solr with DOI ['10.1063/5.0134239'] in pubnote.</t>
  </si>
  <si>
    <t>{'abstract': 0.96, 'title': 0.95, 'author': 1, 'year': 1}</t>
  </si>
  <si>
    <t>No result from solr with DOI ['10.1109/TAP.2022.3209280'] in pubnote.</t>
  </si>
  <si>
    <t>{'abstract': None, 'title': 1.0, 'author': 0.67, 'year': 1}</t>
  </si>
  <si>
    <t>No result from solr with DOI ['10.1017/jfm.2022.1052'] in pubnote.</t>
  </si>
  <si>
    <t>{'abstract': 0.97, 'title': 0.94, 'author': 1, 'year': 1}</t>
  </si>
  <si>
    <t>{'abstract': 1.0, 'title': 0.91, 'author': 0.29, 'year': 1, 'doi': 1}</t>
  </si>
  <si>
    <t>{'abstract': 0.96, 'title': 0.53, 'author': 1, 'year': 0.75, 'doi': 1}</t>
  </si>
  <si>
    <t>No result from solr with DOI ['10.1103/PhysRevFluids.8.014704'] in pubnote.</t>
  </si>
  <si>
    <t>{'abstract': 0.98, 'title': 0.93, 'author': 1, 'year': 1}</t>
  </si>
  <si>
    <t>No result from solr with DOI ['10.1103/PRXQuantum.4.010308'] in pubnote.</t>
  </si>
  <si>
    <t>No result from solr with DOI ['10.1103/PhysRevResearch.5.013033'] in pubnote.</t>
  </si>
  <si>
    <t>{'abstract': 0.94, 'title': 0.98, 'author': 1, 'year': 1}</t>
  </si>
  <si>
    <t>No result from solr with DOI ['10.1103/PhysRevResearch.5.L012006'] in pubnote.</t>
  </si>
  <si>
    <t>{'abstract': 0.98, 'title': 1.0, 'author': 1, 'year': 0.75}</t>
  </si>
  <si>
    <t>update</t>
  </si>
  <si>
    <t>2022arXiv220306611J</t>
  </si>
  <si>
    <t>{'abstract': 1.0, 'title': 1.0, 'author': 0.83, 'year': 0.75}</t>
  </si>
  <si>
    <t>No result from solr with DOI ['10.1038/s41563-022-01429-5'] in pubnote.</t>
  </si>
  <si>
    <t>{'abstract': 0.99, 'title': 0.92, 'author': 1, 'year': 1}</t>
  </si>
  <si>
    <t>No result from solr with DOI ['10.1007/JHEP01(2023)047'] in pubnote.</t>
  </si>
  <si>
    <t>No result from solr with DOI ['10.1103/PhysRevC.107.014911'] in pubnote.</t>
  </si>
  <si>
    <t>No result from solr with DOI ['10.1103/PhysRevLett.130.030401'] in pubnote.</t>
  </si>
  <si>
    <t>No result from solr with DOI ['10.1103/PhysRevResearch.5.013032'] in pubnote.</t>
  </si>
  <si>
    <t>No result from solr with DOI ['10.1017/jfm.2022.1025'] in pubnote.</t>
  </si>
  <si>
    <t>No result from solr with DOI ['10.22331/q-2017-08-17-26'] in pubnote.</t>
  </si>
  <si>
    <t>No result from solr with DOI ['10.1039/D2SM01294D'] in pubnote.</t>
  </si>
  <si>
    <t>No result from solr with DOI ['10.1038/s41598-023-28264-1'] in pubnote.</t>
  </si>
  <si>
    <t>No result from solr with DOI ['10.1016/j.jcp.2023.111912'] in pubnote.</t>
  </si>
  <si>
    <t>{'abstract': 1.0, 'title': 0.97, 'author': 1, 'year': 0.75}</t>
  </si>
  <si>
    <t>No result from solr with DOI ['10.1016/j.nuclphysb.2023.116072'] in pubnote.</t>
  </si>
  <si>
    <t>{'abstract': 0.96, 'title': 0.84, 'author': 0.5, 'year': 1, 'doi': 1}</t>
  </si>
  <si>
    <t>{'abstract': None, 'title': 0.89, 'author': 1, 'year': 1, 'doi': 1}</t>
  </si>
  <si>
    <t>{'abstract': 0.79, 'title': 0.64, 'author': 1, 'year': 1, 'doi': 1}</t>
  </si>
  <si>
    <t>No result from solr with DOI ['10.1007/s00021-022-00750-y'] in pubnote.</t>
  </si>
  <si>
    <t>{'abstract': 1.0, 'title': 0.91, 'author': 1, 'year': 1}</t>
  </si>
  <si>
    <t>No result from solr with DOI ['10.1007/s11467-022-1242-6'] in pubnote.</t>
  </si>
  <si>
    <t>No result from solr with DOI ['10.1007/JHEP01(2023)085'] in pubnote.</t>
  </si>
  <si>
    <t>No result from solr with DOI ['10.1103/PhysRevA.107.012608'] in pubnote.</t>
  </si>
  <si>
    <t>No result from solr with DOI ['10.1103/PhysRevApplied.19.014048'] in pubnote.</t>
  </si>
  <si>
    <t>No result from solr with DOI ['10.1103/PhysRevB.107.035131'] in pubnote.</t>
  </si>
  <si>
    <t>No result from solr with DOI ['10.1103/PhysRevB.107.045133'] in pubnote.</t>
  </si>
  <si>
    <t>No result from solr with DOI ['10.1103/PhysRevD.107.015017'] in pubnote.</t>
  </si>
  <si>
    <t>No result from solr with DOI ['10.1103/PhysRevX.13.011004'] in pubnote.</t>
  </si>
  <si>
    <t>No result from solr with DOI ['10.1364/OE.480233'] in pubnote.</t>
  </si>
  <si>
    <t>No result from solr with DOI ['10.3390/sym15010241'] in pubnote.</t>
  </si>
  <si>
    <t>No result from solr with DOI ['10.1140/epjc/s10052-022-11049-7'] in pubnote.</t>
  </si>
  <si>
    <t>{'abstract': 1.0, 'title': 0.91, 'author': 0.96, 'year': 1}</t>
  </si>
  <si>
    <t>{'abstract': 1.0, 'title': 0.92, 'author': 0.33, 'year': 1, 'doi': 1}</t>
  </si>
  <si>
    <t>{'abstract': None, 'title': 0.9, 'author': 1, 'year': 1, 'doi': 1}</t>
  </si>
  <si>
    <t>No result from solr with DOI ['10.1103/PhysRevB.107.035125'] in pubnote.</t>
  </si>
  <si>
    <t>{'abstract': 0.98, 'title': 0.94, 'author': 1, 'year': 1}</t>
  </si>
  <si>
    <t>No result from solr with DOI ['10.1038/s41534-022-00668-3'] in pubnote.</t>
  </si>
  <si>
    <t>{'abstract': 0.99, 'title': 1.0, 'author': 1, 'year': 0.75}</t>
  </si>
  <si>
    <t>No result from solr with DOI ['10.1038/s41534-022-00670-9'] in pubnote.</t>
  </si>
  <si>
    <t>No result from solr with DOI ['10.1007/s00220-022-04603-7'] in pubnote.</t>
  </si>
  <si>
    <t>{'abstract': 1.0, 'title': 1.0, 'author': 0, 'year': 0.75, 'doi': 1}</t>
  </si>
  <si>
    <t>No result from solr with DOI ['10.1088/2632-2153/acb03e'] in pubnote.</t>
  </si>
  <si>
    <t>{'abstract': 1.0, 'title': 0.93, 'author': 0.67, 'year': 1}</t>
  </si>
  <si>
    <t>No result from solr with DOI ['10.1063/5.0135392'] in pubnote.</t>
  </si>
  <si>
    <t>{'abstract': 0.99, 'title': 0.93, 'author': 1, 'year': 1}</t>
  </si>
  <si>
    <t>No result from solr with DOI ['10.1016/j.physd.2023.133650'] in pubnote.</t>
  </si>
  <si>
    <t>No result from solr with DOI ['10.1103/PhysRevB.107.014415'] in pubnote.</t>
  </si>
  <si>
    <t>2022arXiv220205117M</t>
  </si>
  <si>
    <t>No result from solr with DOI ['10.1103/PhysRevD.107.025013'] in pubnote.</t>
  </si>
  <si>
    <t>No result from solr with DOI ['10.1088/1361-6544/acafcd'] in pubnote.</t>
  </si>
  <si>
    <t>{'abstract': None, 'title': 0.91, 'author': 1, 'year': 1, 'doi': 1}</t>
  </si>
  <si>
    <t>No result from solr with DOI ['10.1007/s10701-022-00653-y'] in pubnote.</t>
  </si>
  <si>
    <t>{'abstract': 1.0, 'title': 0.92, 'author': 1, 'year': 1}</t>
  </si>
  <si>
    <t>No result from solr with DOI ['10.1088/1361-6501/acaffe'] in pubnote. No matches with Abstract, trying Title.</t>
  </si>
  <si>
    <t>No result from solr with DOI ['10.1088/1751-8121/acb09a'] in pubnote.</t>
  </si>
  <si>
    <t>No result from solr with DOI ['10.1016/j.physletb.2022.137665'] in pubnote.</t>
  </si>
  <si>
    <t>No result from solr with DOI ['10.1016/j.physletb.2023.137680'] in pubnote.</t>
  </si>
  <si>
    <t>No result from solr with DOI ['10.1103/PhysRevA.107.012609'] in pubnote.</t>
  </si>
  <si>
    <t>No result from solr with DOI ['10.1103/PhysRevB.107.014308'] in pubnote.</t>
  </si>
  <si>
    <t>No result from solr with DOI ['10.1103/PhysRevE.107.014605'] in pubnote.</t>
  </si>
  <si>
    <t>No result from solr with DOI ['10.1103/PhysRevLett.130.043602'] in pubnote.</t>
  </si>
  <si>
    <t>No result from solr with DOI ['10.1039/D2SM01420C'] in pubnote.</t>
  </si>
  <si>
    <t>No result from solr with DOI ['10.1088/1748-0221/18/01/P01020'] in pubnote.</t>
  </si>
  <si>
    <t>No result from solr with DOI ['10.1016/j.physb.2022.414627'] in pubnote.</t>
  </si>
  <si>
    <t>{'abstract': 1.0, 'title': 0.99, 'author': 1, 'year': 0.75}</t>
  </si>
  <si>
    <t>No result from solr with DOI ['10.1103/PhysRevResearch.5.013022'] in pubnote.</t>
  </si>
  <si>
    <t>{'abstract': 0.99, 'title': 0.93, 'author': 0.89, 'year': 1}</t>
  </si>
  <si>
    <t>No result from solr with DOI ['10.1209/0295-5075/acb009'] in pubnote.</t>
  </si>
  <si>
    <t>{'abstract': 0.99, 'title': 0.93, 'author': 0.91, 'year': 1}</t>
  </si>
  <si>
    <t>{'abstract': 0.85, 'title': 0.92, 'author': 0.5, 'year': 1, 'doi': 1}</t>
  </si>
  <si>
    <t>{'abstract': 0.98, 'title': 0.98, 'author': 0.29, 'year': 1, 'doi': 1}</t>
  </si>
  <si>
    <t>No result from solr with DOI ['10.1137/21M1439389'] in pubnote.</t>
  </si>
  <si>
    <t>{'abstract': None, 'title': 0.9, 'author': 1, 'year': 0.75}</t>
  </si>
  <si>
    <t>No result from solr with DOI ['10.1137/21M1446289'] in pubnote.</t>
  </si>
  <si>
    <t>{'abstract': None, 'title': 0.92, 'author': 1, 'year': 1, 'doi': 1}</t>
  </si>
  <si>
    <t>No result from solr with DOI ['10.1063/5.0128398'] in pubnote.</t>
  </si>
  <si>
    <t>{'abstract': 0.98, 'title': 0.95, 'author': 1, 'year': 1}</t>
  </si>
  <si>
    <t>No result from solr with DOI ['10.1103/PhysRevLett.130.031601'] in pubnote.</t>
  </si>
  <si>
    <t>No result from solr with DOI ['10.1038/s41567-022-01836-0'] in pubnote.</t>
  </si>
  <si>
    <t>{'abstract': 0.94, 'title': 1.0, 'author': 1, 'year': 1}</t>
  </si>
  <si>
    <t>No result from solr with DOI ['10.1103/PhysRevE.107.014211'] in pubnote.</t>
  </si>
  <si>
    <t>No result from solr with DOI ['10.1103/PhysRevLett.130.031801'] in pubnote.</t>
  </si>
  <si>
    <t>No result from solr with DOI ['10.1038/s41534-023-00676-x'] in pubnote.</t>
  </si>
  <si>
    <t>{'abstract': 1.0, 'title': 1.0, 'author': 1, 'year': 0.75}</t>
  </si>
  <si>
    <t>2021arXiv211209661X</t>
  </si>
  <si>
    <t>No result from solr with DOI ['10.1140/epjc/s10052-023-11195-6'] in pubnote.</t>
  </si>
  <si>
    <t>No result from solr with DOI ['10.1016/j.physd.2023.133653'] in pubnote.</t>
  </si>
  <si>
    <t>No result from solr with DOI ['10.1016/j.nuclphysb.2023.116083'] in pubnote.</t>
  </si>
  <si>
    <t>No result from solr with DOI ['10.1103/PhysRevResearch.5.013023'] in pubnote.</t>
  </si>
  <si>
    <t>No result from solr with DOI ['10.22331/q-2021-06-24-482'] in pubnote.</t>
  </si>
  <si>
    <t>No result from solr with DOI ['10.22331/q-2022-03-30-678'] in pubnote.</t>
  </si>
  <si>
    <t>No result from solr with DOI ['10.22331/q-2022-04-04-681'] in pubnote.</t>
  </si>
  <si>
    <t>No result from solr with DOI ['10.22331/q-2022-04-15-691'] in pubnote.</t>
  </si>
  <si>
    <t>No result from solr with DOI ['10.22331/q-2023-01-19-898'] in pubnote.</t>
  </si>
  <si>
    <t>No result from solr with DOI ['10.22331/q-2023-01-19-900'] in pubnote.</t>
  </si>
  <si>
    <t>No result from solr with DOI ['10.1088/1751-8121/acafb1'] in pubnote.</t>
  </si>
  <si>
    <t>No result from solr with DOI ['10.1088/2632-2153/acb0b4'] in pubnote.</t>
  </si>
  <si>
    <t>No result from solr with DOI ['10.1088/1751-8121/acb1e1'] in pubnote.</t>
  </si>
  <si>
    <t>{'abstract': None, 'title': 0.92, 'author': 0.83, 'year': 1}</t>
  </si>
  <si>
    <t>No result from solr with DOI ['10.1088/1741-2552/acacca'] in pubnote.</t>
  </si>
  <si>
    <t>{'abstract': 0.99, 'title': 0.94, 'author': 1, 'year': 1}</t>
  </si>
  <si>
    <t>No result from solr with DOI ['10.1103/PhysRevB.107.035133'] in pubnote.</t>
  </si>
  <si>
    <t>No result from solr with DOI ['10.1103/PhysRevC.107.015203'] in pubnote.</t>
  </si>
  <si>
    <t>No result from solr with DOI ['10.3390/s23020962'] in pubnote.</t>
  </si>
  <si>
    <t>No result from solr with DOI ['10.1039/D2SM00374K'] in pubnote.</t>
  </si>
  <si>
    <t>{'abstract': 0.99, 'title': 0.95, 'author': 0.8, 'year': 1}</t>
  </si>
  <si>
    <t>{'abstract': 1.0, 'title': 0.84, 'author': 0.5, 'year': 0.75, 'doi': 1}</t>
  </si>
  <si>
    <t>No result from solr with DOI ['10.1088/1402-4896/acab3d'] in pubnote.</t>
  </si>
  <si>
    <t>{'abstract': 0.99, 'title': 0.97, 'author': 0.67, 'year': 1}</t>
  </si>
  <si>
    <t>No result from solr with DOI ['10.1007/s00021-023-00764-0'] in pubnote.</t>
  </si>
  <si>
    <t>{'abstract': 1.0, 'title': 0.93, 'author': 1, 'year': 1}</t>
  </si>
  <si>
    <t>No result from solr with DOI ['10.1007/JHEP01(2023)063'] in pubnote.</t>
  </si>
  <si>
    <t>No result from solr with DOI ['10.1038/s41378-022-00480-1'] in pubnote.</t>
  </si>
  <si>
    <t>No result from solr with DOI ['10.1103/PhysRevB.107.035124'] in pubnote.</t>
  </si>
  <si>
    <t>No result from solr with DOI ['10.1103/PhysRevD.107.026011'] in pubnote.</t>
  </si>
  <si>
    <t>No result from solr with DOI ['10.1038/s41535-022-00526-7'] in pubnote.</t>
  </si>
  <si>
    <t>{'abstract': 1.0, 'title': 0.93, 'author': 0.92, 'year': 1}</t>
  </si>
  <si>
    <t>{'abstract': 0.97, 'title': 1.0, 'author': 0, 'year': 0.5, 'doi': 1}</t>
  </si>
  <si>
    <t>{'abstract': 1.0, 'title': 1.0, 'author': 0.3, 'year': 1, 'doi': 1}</t>
  </si>
  <si>
    <t>No result from solr with DOI ['10.1103/PhysRevD.107.023014'] in pubnote.</t>
  </si>
  <si>
    <t>{'abstract': 0.98, 'title': 1.0, 'author': 0.67, 'year': 1}</t>
  </si>
  <si>
    <t>{'abstract': 0.99, 'title': 1.0, 'author': 0, 'year': 0.5, 'doi': 1}</t>
  </si>
  <si>
    <t>No result from solr with DOI ['10.1103/PhysRevD.107.022008'] in pubnote.</t>
  </si>
  <si>
    <t>{'abstract': 0.98, 'title': 0.96, 'author': 1, 'year': 1}</t>
  </si>
  <si>
    <t>{'abstract': 1.0, 'title': 1.0, 'author': 0, 'year': 0.5, 'doi': 1}</t>
  </si>
  <si>
    <t>{'abstract': 1.0, 'title': 1.0, 'author': 0.33, 'year': 1, 'doi': 1}</t>
  </si>
  <si>
    <t>No result from solr with DOI ['10.22331/q-2022-04-15-690'] in pubnote.</t>
  </si>
  <si>
    <t>{'abstract': 0.99, 'title': 0.95, 'author': 1, 'year': 1}</t>
  </si>
  <si>
    <t>No result from solr with DOI ['10.1103/PhysRevD.107.016008'] in pubnote.</t>
  </si>
  <si>
    <t>{'abstract': 0.99, 'title': 0.96, 'author': 0.86, 'year': 1}</t>
  </si>
  <si>
    <t>No result from solr with DOI ['10.1007/s00220-023-04632-w'] in pubnote.</t>
  </si>
  <si>
    <t>{'abstract': 1.0, 'title': 0.94, 'author': 1, 'year': 1}</t>
  </si>
  <si>
    <t>No result from solr with DOI ['10.1007/s11467-022-1246-2'] in pubnote.</t>
  </si>
  <si>
    <t>No result from solr with DOI ['10.1007/JHEP01(2023)062'] in pubnote.</t>
  </si>
  <si>
    <t>No result from solr with DOI ['10.1088/1742-5468/acac70'] in pubnote.</t>
  </si>
  <si>
    <t>No result from solr with DOI ['10.1063/5.0130340'] in pubnote.</t>
  </si>
  <si>
    <t>No result from solr with DOI ['10.1088/1751-8121/acafb2'] in pubnote.</t>
  </si>
  <si>
    <t>No result from solr with DOI ['10.1140/epjc/s10052-022-11150-x'] in pubnote.</t>
  </si>
  <si>
    <t>{'abstract': 1.0, 'title': 0.94, 'author': 0.98, 'year': 1}</t>
  </si>
  <si>
    <t>{'abstract': 0.91, 'title': 0.71, 'author': 1, 'year': 1, 'doi': 1}</t>
  </si>
  <si>
    <t>No result from solr with DOI ['10.1007/JHEP01(2023)049'] in pubnote.</t>
  </si>
  <si>
    <t>{'abstract': 1.0, 'title': 0.98, 'author': 0.67, 'year': 1}</t>
  </si>
  <si>
    <t>No result from solr with DOI ['10.1016/j.jmmm.2023.170385'] in pubnote.</t>
  </si>
  <si>
    <t>{'abstract': 0.99, 'title': 1.0, 'author': 0.67, 'year': 1}</t>
  </si>
  <si>
    <t>No result from solr with DOI ['10.1140/epjc/s10052-022-11163-6'] in pubnote.</t>
  </si>
  <si>
    <t>{'abstract': 0.97, 'title': 1.0, 'author': 0.8, 'year': 1}</t>
  </si>
  <si>
    <t>{'abstract': 1.0, 'title': 0.82, 'author': 0.75, 'year': 1, 'doi': 1}</t>
  </si>
  <si>
    <t>No result from solr with DOI ['10.1103/PhysRevMaterials.7.013401'] in pubnote.</t>
  </si>
  <si>
    <t>{'abstract': 0.98, 'title': 0.97, 'author': 1, 'year': 1}</t>
  </si>
  <si>
    <t>{'abstract': 0.71, 'title': 0.73, 'author': 1, 'year': 0.75, 'doi': 1}</t>
  </si>
  <si>
    <t>{'abstract': 0.95, 'title': 0.71, 'author': 1, 'year': 1, 'doi': 1}</t>
  </si>
  <si>
    <t>{'abstract': 1.0, 'title': 0.7, 'author': 1, 'year': 1, 'doi': 1}</t>
  </si>
  <si>
    <t>No result from solr with DOI ['10.1103/PhysRevA.107.013711'] in pubnote.</t>
  </si>
  <si>
    <t>{'abstract': 0.96, 'title': 1.0, 'author': 1, 'year': 1}</t>
  </si>
  <si>
    <t>No result from solr with DOI ['10.1103/PhysRevD.107.024028'] in pubnote.</t>
  </si>
  <si>
    <t>No result from solr with DOI ['10.1103/RevModPhys.95.011002'] in pubnote.</t>
  </si>
  <si>
    <t>No result from solr with DOI ['10.1017/jfm.2022.1050'] in pubnote.</t>
  </si>
  <si>
    <t>No result from solr with DOI ['10.1103/PhysRevMaterials.7.015002'] in pubnote.</t>
  </si>
  <si>
    <t>{'abstract': 0.99, 'title': 0.96, 'author': 1, 'year': 1}</t>
  </si>
  <si>
    <t>{'abstract': 1.0, 'title': 1.0, 'author': 0.4, 'year': 1, 'doi': 1}</t>
  </si>
  <si>
    <t>No result from solr with DOI ['10.1103/PhysRevB.107.035423'] in pubnote.</t>
  </si>
  <si>
    <t>{'abstract': 0.97, 'title': 0.99, 'author': 1, 'year': 1}</t>
  </si>
  <si>
    <t>No result from solr with DOI ['10.1103/PhysRevD.107.024017'] in pubnote.</t>
  </si>
  <si>
    <t>No result from solr with DOI ['10.1364/OL.472155'] in pubnote.</t>
  </si>
  <si>
    <t>verify</t>
  </si>
  <si>
    <t>No result from solr with DOI ['10.1002/adma.202207932'] in pubnote.</t>
  </si>
  <si>
    <t>{'abstract': None, 'title': 0.84, 'author': 1, 'year': 1}</t>
  </si>
  <si>
    <t>No result from solr with DOI ['10.1007/s00021-023-00763-1'] in pubnote.</t>
  </si>
  <si>
    <t>{'abstract': 1.0, 'title': 0.95, 'author': 1, 'year': 1}</t>
  </si>
  <si>
    <t>No result from solr with DOI ['10.1007/JHEP01(2023)035'] in pubnote.</t>
  </si>
  <si>
    <t>No result from solr with DOI ['10.1007/JHEP01(2023)061'] in pubnote.</t>
  </si>
  <si>
    <t>No result from solr with DOI ['10.1103/PhysRevD.107.026016'] in pubnote.</t>
  </si>
  <si>
    <t>No result from solr with DOI ['10.1088/1748-0221/18/01/P01027'] in pubnote.</t>
  </si>
  <si>
    <t>No result from solr with DOI ['10.1007/s11128-022-03746-9'] in pubnote.</t>
  </si>
  <si>
    <t>{'abstract': 1.0, 'title': 1.0, 'author': 0.67, 'year': 1}</t>
  </si>
  <si>
    <t>No result from solr with DOI ['10.1007/s11467-022-1243-5'] in pubnote.</t>
  </si>
  <si>
    <t>No result from solr with DOI ['10.1007/JHEP01(2023)045'] in pubnote.</t>
  </si>
  <si>
    <t>No result from solr with DOI ['10.1007/JHEP01(2023)075'] in pubnote.</t>
  </si>
  <si>
    <t>No result from solr with DOI ['10.1103/PhysRevA.107.013713'] in pubnote.</t>
  </si>
  <si>
    <t>No result from solr with DOI ['10.1103/PhysRevD.107.023018'] in pubnote.</t>
  </si>
  <si>
    <t>No result from solr with DOI ['10.22331/q-2018-08-22-84'] in pubnote.</t>
  </si>
  <si>
    <t>{'abstract': 0.98, 'title': 1.0, 'author': 0.33, 'year': 0.75, 'doi': 1}</t>
  </si>
  <si>
    <t>No result from solr with DOI ['10.1103/PhysRevB.107.035424'] in pubnote.</t>
  </si>
  <si>
    <t>{'abstract': 0.98, 'title': 0.98, 'author': 1, 'year': 1}</t>
  </si>
  <si>
    <t>No result from solr with DOI ['10.1039/D2CP04536B'] in pubnote.</t>
  </si>
  <si>
    <t>No result from solr with DOI ['10.1088/1361-6544/acb18f'] in pubnote.</t>
  </si>
  <si>
    <t>No result from solr with DOI ['10.1103/PhysRevC.107.014910'] in pubnote.</t>
  </si>
  <si>
    <t>{'abstract': 0.99, 'title': 0.97, 'author': 1, 'year': 1}</t>
  </si>
  <si>
    <t>No result from solr with DOI ['10.1103/PhysRevD.107.014017'] in pubnote.</t>
  </si>
  <si>
    <t>No result from solr with DOI ['10.1103/PhysRevResearch.5.L012008'] in pubnote.</t>
  </si>
  <si>
    <t>{'abstract': 0.98, 'title': 1.0, 'author': 0.83, 'year': 1}</t>
  </si>
  <si>
    <t>No result from solr with DOI ['10.3847/1538-4365/aca594'] in pubnote.</t>
  </si>
  <si>
    <t>{'abstract': 0.97, 'title': 1.0, 'author': 1, 'year': 1}</t>
  </si>
  <si>
    <t>No result from solr with DOI ['10.1016/j.jcp.2022.111896'] in pubnote.</t>
  </si>
  <si>
    <t>No result from solr with DOI ['10.1103/PhysRevA.107.013309'] in pubnote.</t>
  </si>
  <si>
    <t>No result from solr with DOI ['10.1103/PhysRevB.107.035415'] in pubnote.</t>
  </si>
  <si>
    <t>No result from solr with DOI ['10.1103/PhysRevC.107.014908'] in pubnote.</t>
  </si>
  <si>
    <t>No result from solr with DOI ['10.1103/PhysRevE.107.015204'] in pubnote.</t>
  </si>
  <si>
    <t>No result from solr with DOI ['10.1103/PhysRevE.107.015206'] in pubnote.</t>
  </si>
  <si>
    <t>No result from solr with DOI ['10.1140/epjc/s10052-022-11157-4'] in pubnote.</t>
  </si>
  <si>
    <t>{'abstract': 1.0, 'title': 0.96, 'author': 1, 'year': 1}</t>
  </si>
  <si>
    <t>No result from solr with DOI ['10.1007/JHEP01(2023)028'] in pubnote.</t>
  </si>
  <si>
    <t>No result from solr with DOI ['10.1007/JHEP01(2023)039'] in pubnote.</t>
  </si>
  <si>
    <t>No result from solr with DOI ['10.1140/epjp/s13360-023-03671-5'] in pubnote.</t>
  </si>
  <si>
    <t>No result from solr with DOI ['10.1016/j.jcp.2023.111920'] in pubnote.</t>
  </si>
  <si>
    <t>No result from solr with DOI ['10.1016/j.physa.2023.128475'] in pubnote.</t>
  </si>
  <si>
    <t>No result from solr with DOI ['10.1103/PhysRevD.107.023015'] in pubnote.</t>
  </si>
  <si>
    <t>No result from solr with DOI ['10.1017/S1431927622000617'] in pubnote.</t>
  </si>
  <si>
    <t>No result from solr with DOI ['10.1103/PhysRevA.107.012812'] in pubnote.</t>
  </si>
  <si>
    <t>{'abstract': 0.98, 'title': 0.99, 'author': 1, 'year': 1}</t>
  </si>
  <si>
    <t>No result from solr with DOI ['10.1103/PhysRevD.107.014022'] in pubnote.</t>
  </si>
  <si>
    <t>No result from solr with DOI ['10.1103/PhysRevE.107.015205'] in pubnote.</t>
  </si>
  <si>
    <t>No result from solr with DOI ['10.1103/PhysRevResearch.5.013025'] in pubnote.</t>
  </si>
  <si>
    <t>No result from solr with DOI ['10.1088/1361-6455/acaa23'] in pubnote.</t>
  </si>
  <si>
    <t>{'abstract': 0.97, 'title': 1.0, 'author': 0.5, 'year': 1, 'doi': 1}</t>
  </si>
  <si>
    <t>{'abstract': 0.98, 'title': 1.0, 'author': 0.5, 'year': 1, 'doi': 1}</t>
  </si>
  <si>
    <t>No result from solr with DOI ['10.3847/1538-4365/aca4c6'] in pubnote.</t>
  </si>
  <si>
    <t>{'abstract': 0.99, 'title': 0.98, 'author': 1, 'year': 1}</t>
  </si>
  <si>
    <t>No result from solr with DOI ['10.1103/PhysRevA.107.013717'] in pubnote.</t>
  </si>
  <si>
    <t>No result from solr with DOI ['10.1103/PhysRevB.107.014411'] in pubnote.</t>
  </si>
  <si>
    <t>No result from solr with DOI ['10.1103/PhysRevB.107.035419'] in pubnote.</t>
  </si>
  <si>
    <t>No result from solr with DOI ['10.1103/PhysRevB.107.045419'] in pubnote.</t>
  </si>
  <si>
    <t>No result from solr with DOI ['10.1103/PhysRevD.107.014016'] in pubnote.</t>
  </si>
  <si>
    <t>No result from solr with DOI ['10.1103/PhysRevD.107.014019'] in pubnote.</t>
  </si>
  <si>
    <t>No result from solr with DOI ['10.1103/PhysRevE.107.L012101'] in pubnote.</t>
  </si>
  <si>
    <t>No result from solr with DOI ['10.1364/OPTICA.474022'] in pubnote.</t>
  </si>
  <si>
    <t>{'abstract': 0.99, 'title': 1.0, 'author': 0.5, 'year': 1, 'doi': 1}</t>
  </si>
  <si>
    <t>{'abstract': None, 'title': 1.0, 'author': 1, 'year': 0.5}</t>
  </si>
  <si>
    <t>No result from solr with DOI ['10.1103/PhysRevD.107.023013'] in pubnote.</t>
  </si>
  <si>
    <t>{'abstract': 1.0, 'title': 1.0, 'author': 0.71, 'year': 1}</t>
  </si>
  <si>
    <t>No result from solr with DOI ['10.1017/jfm.2022.1040'] in pubnote.</t>
  </si>
  <si>
    <t>{'abstract': 0.99, 'title': 1.0, 'author': 0.8, 'year': 1}</t>
  </si>
  <si>
    <t>{'abstract': 1.0, 'title': 1.0, 'author': 0.5, 'year': 1, 'doi': 1}</t>
  </si>
  <si>
    <t>{'abstract': None, 'title': 0.99, 'author': 1, 'year': 1, 'doi': 1}</t>
  </si>
  <si>
    <t>No result from solr with DOI ['10.1088/1681-7575/acb05c'] in pubnote.</t>
  </si>
  <si>
    <t>{'abstract': 1.0, 'title': 0.97, 'author': 1, 'year': 1}</t>
  </si>
  <si>
    <t>No result from solr with DOI ['10.1088/1361-6382/acafd1'] in pubnote.</t>
  </si>
  <si>
    <t>No result from solr with DOI ['10.1103/PhysRevD.107.024025'] in pubnote.</t>
  </si>
  <si>
    <t>{'abstract': 0.99, 'title': 1.0, 'author': 0.83, 'year': 1}</t>
  </si>
  <si>
    <t>No result from solr with DOI ['10.1007/s11005-023-01633-7'] in pubnote.</t>
  </si>
  <si>
    <t>{'abstract': 0.98, 'title': 1.0, 'author': 1, 'year': 1}</t>
  </si>
  <si>
    <t>No result from solr with DOI ['10.1063/5.0137086'] in pubnote.</t>
  </si>
  <si>
    <t>No result from solr with DOI ['10.1016/j.physd.2022.133630'] in pubnote.</t>
  </si>
  <si>
    <t>No result from solr with DOI ['10.1016/j.cnsns.2023.107091'] in pubnote.</t>
  </si>
  <si>
    <t>No result from solr with DOI ['10.1103/PhysRevA.107.012420'] in pubnote.</t>
  </si>
  <si>
    <t>No result from solr with DOI ['10.1103/PhysRevApplied.19.014051'] in pubnote.</t>
  </si>
  <si>
    <t>No result from solr with DOI ['10.1103/PhysRevB.107.014106'] in pubnote.</t>
  </si>
  <si>
    <t>No result from solr with DOI ['10.1103/PhysRevB.107.014510'] in pubnote.</t>
  </si>
  <si>
    <t>No result from solr with DOI ['10.1103/PhysRevB.107.024418'] in pubnote.</t>
  </si>
  <si>
    <t>No result from solr with DOI ['10.1103/PhysRevB.107.L041406'] in pubnote.</t>
  </si>
  <si>
    <t>No result from solr with DOI ['10.1103/PhysRevE.107.014213'] in pubnote.</t>
  </si>
  <si>
    <t>No result from solr with DOI ['10.1103/PhysRevLett.130.030603'] in pubnote.</t>
  </si>
  <si>
    <t>No result from solr with DOI ['10.1364/OE.478260'] in pubnote.</t>
  </si>
  <si>
    <t>No result from solr with DOI ['10.21468/SciPostPhys.14.1.005'] in pubnote.</t>
  </si>
  <si>
    <t>{'abstract': 0.99, 'title': 0.93, 'author': 0.67, 'year': 1, 'doi': 1}</t>
  </si>
  <si>
    <t>No result from solr with DOI ['10.1002/andp.202200439'] in pubnote.</t>
  </si>
  <si>
    <t>{'abstract': None, 'title': 0.85, 'author': 1, 'year': 1}</t>
  </si>
  <si>
    <t>No result from solr with DOI ['10.1103/PhysRevA.107.013111'] in pubnote.</t>
  </si>
  <si>
    <t>{'abstract': 0.99, 'title': 0.99, 'author': 1, 'year': 1}</t>
  </si>
  <si>
    <t>No result from solr with DOI ['10.1103/PhysRevB.107.035134'] in pubnote.</t>
  </si>
  <si>
    <t>No result from solr with DOI ['10.1103/PhysRevD.107.023012'] in pubnote.</t>
  </si>
  <si>
    <t>No result from solr with DOI ['10.1103/PhysRevD.107.023017'] in pubnote.</t>
  </si>
  <si>
    <t>No result from solr with DOI ['10.1103/PhysRevD.107.024021'] in pubnote.</t>
  </si>
  <si>
    <t>No result from solr with DOI ['10.1103/PhysRevE.107.014122'] in pubnote.</t>
  </si>
  <si>
    <t>No result from solr with DOI ['10.3390/e25020193'] in pubnote.</t>
  </si>
  <si>
    <t>{'abstract': None, 'title': 0.92, 'author': 1, 'year': 0.75, 'doi': 1}</t>
  </si>
  <si>
    <t>{'abstract': None, 'title': 1.0, 'author': 1, 'year': 1, 'doi': 1}</t>
  </si>
  <si>
    <t>No result from solr with DOI ['10.1016/j.aop.2023.169222'] in pubnote.</t>
  </si>
  <si>
    <t>{'abstract': 1.0, 'title': 1.0, 'author': 0.75, 'year': 1}</t>
  </si>
  <si>
    <t>No result from solr with DOI ['10.1103/PhysRevLett.130.036701'] in pubnote.</t>
  </si>
  <si>
    <t>No result from solr with DOI ['10.22331/q-2021-06-29-486'] in pubnote.</t>
  </si>
  <si>
    <t>No result from solr with DOI ['10.22331/q-2022-03-30-677'] in pubnote.</t>
  </si>
  <si>
    <t>{'abstract': 1.0, 'title': 0.77, 'author': 1, 'year': 1, 'doi': 1}</t>
  </si>
  <si>
    <t>{'abstract': 0.99, 'title': 0.94, 'author': 0.67, 'year': 1, 'doi': 1}</t>
  </si>
  <si>
    <t>No result from solr with DOI ['10.1007/JHEP01(2023)070'] in pubnote.</t>
  </si>
  <si>
    <t>{'abstract': 1.0, 'title': 0.98, 'author': 1, 'year': 1}</t>
  </si>
  <si>
    <t>No result from solr with DOI ['10.1103/PhysRevApplied.19.014062'] in pubnote.</t>
  </si>
  <si>
    <t>No result from solr with DOI ['10.1103/PhysRevC.107.014314'] in pubnote.</t>
  </si>
  <si>
    <t>No result from solr with DOI ['10.1103/PhysRevE.107.014127'] in pubnote.</t>
  </si>
  <si>
    <t>No result from solr with DOI ['10.1103/PhysRevE.107.014130'] in pubnote.</t>
  </si>
  <si>
    <t>No result from solr with DOI ['10.1103/PhysRevE.107.014302'] in pubnote.</t>
  </si>
  <si>
    <t>{'abstract': 0.99, 'title': 0.87, 'author': 0.83, 'year': 1, 'doi': 1}</t>
  </si>
  <si>
    <t>No result from solr with DOI ['10.22331/q-2022-04-06-682'] in pubnote.</t>
  </si>
  <si>
    <t>{'abstract': 1.0, 'title': 1.0, 'author': 0.8, 'year': 1}</t>
  </si>
  <si>
    <t>{'abstract': 1.0, 'title': 1.0, 'author': 0.57, 'year': 1, 'doi': 1}</t>
  </si>
  <si>
    <t>{'abstract': 0.99, 'title': 0.79, 'author': 1, 'year': 1, 'doi': 1}</t>
  </si>
  <si>
    <t>No result from solr with DOI ['10.1140/epjc/s10052-022-11141-y'] in pubnote.</t>
  </si>
  <si>
    <t>{'abstract': 0.99, 'title': 1.0, 'author': 1, 'year': 1}</t>
  </si>
  <si>
    <t>No result from solr with DOI ['10.1007/JHEP01(2023)065'] in pubnote.</t>
  </si>
  <si>
    <t>No result from solr with DOI ['10.1007/JHEP01(2023)084'] in pubnote.</t>
  </si>
  <si>
    <t>No result from solr with DOI ['10.1088/1361-6420/acb008'] in pubnote.</t>
  </si>
  <si>
    <t>No result from solr with DOI ['10.1088/2058-9565/acae3e'] in pubnote.</t>
  </si>
  <si>
    <t>No result from solr with DOI ['10.1063/5.0132127'] in pubnote.</t>
  </si>
  <si>
    <t>No result from solr with DOI ['10.1063/5.0132358'] in pubnote.</t>
  </si>
  <si>
    <t>No result from solr with DOI ['10.1063/5.0130917'] in pubnote.</t>
  </si>
  <si>
    <t>No result from solr with DOI ['10.1063/5.0135380'] in pubnote.</t>
  </si>
  <si>
    <t>No result from solr with DOI ['10.1063/5.0131745'] in pubnote.</t>
  </si>
  <si>
    <t>No result from solr with DOI ['10.1063/5.0118096'] in pubnote.</t>
  </si>
  <si>
    <t>No result from solr with DOI ['10.1016/j.jcp.2023.111918'] in pubnote.</t>
  </si>
  <si>
    <t>No result from solr with DOI ['10.1016/j.physleta.2023.128644'] in pubnote.</t>
  </si>
  <si>
    <t>No result from solr with DOI ['10.1016/j.geomphys.2023.104749'] in pubnote.</t>
  </si>
  <si>
    <t>No result from solr with DOI ['10.1016/j.nuclphysb.2023.116085'] in pubnote.</t>
  </si>
  <si>
    <t>No result from solr with DOI ['10.1103/PhysRevA.107.012216'] in pubnote.</t>
  </si>
  <si>
    <t>No result from solr with DOI ['10.1103/PhysRevA.107.012422'] in pubnote.</t>
  </si>
  <si>
    <t>No result from solr with DOI ['10.1103/PhysRevA.107.013308'] in pubnote.</t>
  </si>
  <si>
    <t>No result from solr with DOI ['10.1103/PhysRevA.107.013513'] in pubnote.</t>
  </si>
  <si>
    <t>No result from solr with DOI ['10.1103/PhysRevB.107.024416'] in pubnote.</t>
  </si>
  <si>
    <t>No result from solr with DOI ['10.1103/PhysRevB.107.035425'] in pubnote.</t>
  </si>
  <si>
    <t>No result from solr with DOI ['10.1103/PhysRevB.107.045119'] in pubnote.</t>
  </si>
  <si>
    <t>No result from solr with DOI ['10.1103/PhysRevB.107.045125'] in pubnote.</t>
  </si>
  <si>
    <t>No result from solr with DOI ['10.1103/PhysRevB.107.L041105'] in pubnote.</t>
  </si>
  <si>
    <t>No result from solr with DOI ['10.1103/PhysRevD.107.016007'] in pubnote.</t>
  </si>
  <si>
    <t>No result from solr with DOI ['10.1103/PhysRevD.107.016009'] in pubnote.</t>
  </si>
  <si>
    <t>No result from solr with DOI ['10.1103/PhysRevD.107.022005'] in pubnote.</t>
  </si>
  <si>
    <t>No result from solr with DOI ['10.1103/PhysRevD.107.024027'] in pubnote.</t>
  </si>
  <si>
    <t>No result from solr with DOI ['10.1103/PhysRevD.107.026013'] in pubnote.</t>
  </si>
  <si>
    <t>No result from solr with DOI ['10.1103/PhysRevE.107.014124'] in pubnote.</t>
  </si>
  <si>
    <t>No result from solr with DOI ['10.1103/PhysRevLett.130.036401'] in pubnote.</t>
  </si>
  <si>
    <t>No result from solr with DOI ['10.1155/2023/2361405'] in pubnote.</t>
  </si>
  <si>
    <t>No result from solr with DOI ['10.1122/8.0000505'] in pubnote.</t>
  </si>
  <si>
    <t>No result from solr with DOI ['10.1039/D2CP04256H'] in pubnote.</t>
  </si>
  <si>
    <t>No result from solr with DOI ['10.22331/q-2022-04-13-687'] in pubnote.</t>
  </si>
  <si>
    <t>No result from solr with DOI ['10.1088/0256-307X/40/2/020502'] in pubnote.</t>
  </si>
  <si>
    <t>No result from solr with DOI ['10.1093/gji/ggad021'] in pubnote.</t>
  </si>
  <si>
    <t>{'abstract': 1.0, 'title': 0.96, 'author': 0.67, 'year': 1, 'doi': 1}</t>
  </si>
  <si>
    <t>No result from solr with DOI ['10.1088/1367-2630/acb004'] in pubnote.</t>
  </si>
  <si>
    <t>{'abstract': 1.0, 'title': 1.0, 'author': 0.88, 'year': 1}</t>
  </si>
  <si>
    <t>No result from solr with DOI ['10.1007/s11207-022-02096-0'] in pubnote.</t>
  </si>
  <si>
    <t>{'abstract': 1.0, 'title': 0.99, 'author': 1, 'year': 1}</t>
  </si>
  <si>
    <t>No result from solr with DOI ['10.1088/1367-2630/acb006'] in pubnote.</t>
  </si>
  <si>
    <t>No result from solr with DOI ['10.1088/1367-2630/acaf9a'] in pubnote.</t>
  </si>
  <si>
    <t>No result from solr with DOI ['10.1016/j.jcp.2022.111901'] in pubnote.</t>
  </si>
  <si>
    <t>No result from solr with DOI ['10.1103/PhysRevB.107.045306'] in pubnote.</t>
  </si>
  <si>
    <t>No result from solr with DOI ['10.1103/PhysRevC.107.014912'] in pubnote.</t>
  </si>
  <si>
    <t>No result from solr with DOI ['10.1103/PhysRevD.107.023521'] in pubnote.</t>
  </si>
  <si>
    <t>{'abstract': 0.99, 'title': 1.0, 'author': 0.6, 'year': 1, 'doi': 1}</t>
  </si>
  <si>
    <t>{'abstract': 1.0, 'title': 1.0, 'author': 0.6, 'year': 1, 'doi': 1}</t>
  </si>
  <si>
    <t>{'abstract': 1.0, 'title': 0.8, 'author': 1, 'year': 1, 'doi': 1}</t>
  </si>
  <si>
    <t>{'abstract': 1.0, 'title': 1.0, 'author': 0.5, 'year': 0.75, 'doi': 1}</t>
  </si>
  <si>
    <t>No result from solr with DOI ['10.1088/2058-9565/acae3d'] in pubnote.</t>
  </si>
  <si>
    <t>{'abstract': 1.0, 'title': 1.0, 'author': 0.94, 'year': 1}</t>
  </si>
  <si>
    <t>No result from solr with DOI ['10.1038/s41563-022-01364-5'] in pubnote.</t>
  </si>
  <si>
    <t>{'abstract': 1.0, 'title': 1.0, 'author': 1, 'year': 1}</t>
  </si>
  <si>
    <t>No result from solr with DOI ['10.1038/s41566-022-01105-9'] in pubnote.</t>
  </si>
  <si>
    <t>No result from solr with DOI ['10.1140/epjc/s10052-023-11181-y'] in pubnote.</t>
  </si>
  <si>
    <t>No result from solr with DOI ['10.1140/epjc/s10052-023-11182-x'] in pubnote.</t>
  </si>
  <si>
    <t>No result from solr with DOI ['10.1140/epjc/s10052-023-11186-7'] in pubnote.</t>
  </si>
  <si>
    <t>No result from solr with DOI ['10.1007/s10701-022-00668-5'] in pubnote.</t>
  </si>
  <si>
    <t>No result from solr with DOI ['10.1007/s11128-022-03793-2'] in pubnote.</t>
  </si>
  <si>
    <t>No result from solr with DOI ['10.1007/s11467-022-1235-5'] in pubnote.</t>
  </si>
  <si>
    <t>No result from solr with DOI ['10.1007/JHEP01(2023)018'] in pubnote.</t>
  </si>
  <si>
    <t>No result from solr with DOI ['10.1007/JHEP01(2023)020'] in pubnote.</t>
  </si>
  <si>
    <t>No result from solr with DOI ['10.1007/JHEP01(2023)040'] in pubnote.</t>
  </si>
  <si>
    <t>No result from solr with DOI ['10.1007/JHEP01(2023)043'] in pubnote.</t>
  </si>
  <si>
    <t>No result from solr with DOI ['10.1007/JHEP01(2023)046'] in pubnote.</t>
  </si>
  <si>
    <t>No result from solr with DOI ['10.1007/JHEP01(2023)048'] in pubnote.</t>
  </si>
  <si>
    <t>No result from solr with DOI ['10.1007/JHEP01(2023)050'] in pubnote.</t>
  </si>
  <si>
    <t>No result from solr with DOI ['10.1007/JHEP01(2023)053'] in pubnote.</t>
  </si>
  <si>
    <t>No result from solr with DOI ['10.1007/JHEP01(2023)066'] in pubnote.</t>
  </si>
  <si>
    <t>No result from solr with DOI ['10.1007/JHEP01(2023)068'] in pubnote.</t>
  </si>
  <si>
    <t>No result from solr with DOI ['10.1007/JHEP01(2023)071'] in pubnote.</t>
  </si>
  <si>
    <t>No result from solr with DOI ['10.1007/JHEP01(2023)072'] in pubnote.</t>
  </si>
  <si>
    <t>No result from solr with DOI ['10.1007/JHEP01(2023)074'] in pubnote.</t>
  </si>
  <si>
    <t>No result from solr with DOI ['10.1007/JHEP01(2023)077'] in pubnote.</t>
  </si>
  <si>
    <t>No result from solr with DOI ['10.1007/JHEP01(2023)078'] in pubnote.</t>
  </si>
  <si>
    <t>No result from solr with DOI ['10.1007/JHEP01(2023)079'] in pubnote.</t>
  </si>
  <si>
    <t>No result from solr with DOI ['10.1007/JHEP01(2023)081'] in pubnote.</t>
  </si>
  <si>
    <t>No result from solr with DOI ['10.1007/JHEP01(2023)083'] in pubnote.</t>
  </si>
  <si>
    <t>No result from solr with DOI ['10.1007/JHEP01(2023)087'] in pubnote.</t>
  </si>
  <si>
    <t>No result from solr with DOI ['10.1007/JHEP01(2023)088'] in pubnote.</t>
  </si>
  <si>
    <t>No result from solr with DOI ['10.1140/epjp/s13360-022-03616-4'] in pubnote.</t>
  </si>
  <si>
    <t>No result from solr with DOI ['10.1140/epjp/s13360-023-03696-w'] in pubnote.</t>
  </si>
  <si>
    <t>No result from solr with DOI ['10.1088/1361-6382/acb0a9'] in pubnote.</t>
  </si>
  <si>
    <t>No result from solr with DOI ['10.1088/1367-2630/acb005'] in pubnote.</t>
  </si>
  <si>
    <t>No result from solr with DOI ['10.1088/1742-5468/acac72'] in pubnote.</t>
  </si>
  <si>
    <t>No result from solr with DOI ['10.1088/1751-8121/acb097'] in pubnote.</t>
  </si>
  <si>
    <t>No result from solr with DOI ['10.1063/5.0130033'] in pubnote.</t>
  </si>
  <si>
    <t>No result from solr with DOI ['10.1063/5.0133965'] in pubnote.</t>
  </si>
  <si>
    <t>No result from solr with DOI ['10.1063/5.0134060'] in pubnote.</t>
  </si>
  <si>
    <t>No result from solr with DOI ['10.1063/5.0124720'] in pubnote.</t>
  </si>
  <si>
    <t>No result from solr with DOI ['10.1063/5.0130682'] in pubnote.</t>
  </si>
  <si>
    <t>No result from solr with DOI ['10.1063/9.0000609'] in pubnote.</t>
  </si>
  <si>
    <t>No result from solr with DOI ['10.1016/j.cpc.2022.108654'] in pubnote.</t>
  </si>
  <si>
    <t>No result from solr with DOI ['10.1016/j.jcp.2023.111913'] in pubnote.</t>
  </si>
  <si>
    <t>No result from solr with DOI ['10.1016/j.jde.2022.12.035'] in pubnote.</t>
  </si>
  <si>
    <t>No result from solr with DOI ['10.1016/j.jde.2023.01.003'] in pubnote.</t>
  </si>
  <si>
    <t>No result from solr with DOI ['10.1016/j.jms.2023.111736'] in pubnote.</t>
  </si>
  <si>
    <t>No result from solr with DOI ['10.1016/j.jmps.2022.105193'] in pubnote.</t>
  </si>
  <si>
    <t>No result from solr with DOI ['10.1016/j.physd.2023.133649'] in pubnote.</t>
  </si>
  <si>
    <t>No result from solr with DOI ['10.1016/j.physd.2023.133654'] in pubnote.</t>
  </si>
  <si>
    <t>No result from solr with DOI ['10.1016/j.jmmm.2023.170420'] in pubnote.</t>
  </si>
  <si>
    <t>No result from solr with DOI ['10.1016/j.physa.2023.128487'] in pubnote.</t>
  </si>
  <si>
    <t>No result from solr with DOI ['10.1016/j.chaos.2023.113118'] in pubnote.</t>
  </si>
  <si>
    <t>No result from solr with DOI ['10.1016/j.chaos.2023.113135'] in pubnote.</t>
  </si>
  <si>
    <t>No result from solr with DOI ['10.1016/j.physe.2022.115645'] in pubnote.</t>
  </si>
  <si>
    <t>No result from solr with DOI ['10.1103/PhysRevA.107.012423'] in pubnote.</t>
  </si>
  <si>
    <t>No result from solr with DOI ['10.1103/PhysRevA.107.013715'] in pubnote.</t>
  </si>
  <si>
    <t>No result from solr with DOI ['10.1103/PhysRevApplied.19.014049'] in pubnote.</t>
  </si>
  <si>
    <t>No result from solr with DOI ['10.1103/PhysRevB.107.014416'] in pubnote.</t>
  </si>
  <si>
    <t>No result from solr with DOI ['10.1103/PhysRevB.107.014417'] in pubnote.</t>
  </si>
  <si>
    <t>No result from solr with DOI ['10.1103/PhysRevB.107.035123'] in pubnote.</t>
  </si>
  <si>
    <t>No result from solr with DOI ['10.1103/PhysRevB.107.035417'] in pubnote.</t>
  </si>
  <si>
    <t>No result from solr with DOI ['10.1103/PhysRevC.107.014001'] in pubnote.</t>
  </si>
  <si>
    <t>No result from solr with DOI ['10.1103/PhysRevC.107.014306'] in pubnote.</t>
  </si>
  <si>
    <t>No result from solr with DOI ['10.1103/PhysRevC.107.014315'] in pubnote.</t>
  </si>
  <si>
    <t>No result from solr with DOI ['10.1103/PhysRevD.107.014018'] in pubnote.</t>
  </si>
  <si>
    <t>No result from solr with DOI ['10.1103/PhysRevD.107.014021'] in pubnote.</t>
  </si>
  <si>
    <t>No result from solr with DOI ['10.1103/PhysRevD.107.016011'] in pubnote.</t>
  </si>
  <si>
    <t>No result from solr with DOI ['10.1103/PhysRevD.107.016012'] in pubnote.</t>
  </si>
  <si>
    <t>No result from solr with DOI ['10.1103/PhysRevD.107.022006'] in pubnote.</t>
  </si>
  <si>
    <t>No result from solr with DOI ['10.1103/PhysRevD.107.024020'] in pubnote.</t>
  </si>
  <si>
    <t>No result from solr with DOI ['10.1103/PhysRevD.107.024023'] in pubnote.</t>
  </si>
  <si>
    <t>No result from solr with DOI ['10.1103/PhysRevD.107.025008'] in pubnote.</t>
  </si>
  <si>
    <t>No result from solr with DOI ['10.1103/PhysRevD.107.026017'] in pubnote.</t>
  </si>
  <si>
    <t>No result from solr with DOI ['10.1103/PhysRevD.107.026018'] in pubnote.</t>
  </si>
  <si>
    <t>No result from solr with DOI ['10.1103/PhysRevE.107.014125'] in pubnote.</t>
  </si>
  <si>
    <t>No result from solr with DOI ['10.1103/PhysRevE.107.014210'] in pubnote.</t>
  </si>
  <si>
    <t>No result from solr with DOI ['10.1103/PhysRevE.107.015105'] in pubnote.</t>
  </si>
  <si>
    <t>No result from solr with DOI ['10.1103/PhysRevFluids.8.014103'] in pubnote.</t>
  </si>
  <si>
    <t>No result from solr with DOI ['10.1103/PhysRevFluids.8.014302'] in pubnote.</t>
  </si>
  <si>
    <t>No result from solr with DOI ['10.1103/PhysRevResearch.5.013035'] in pubnote.</t>
  </si>
  <si>
    <t>No result from solr with DOI ['10.3390/e25010175'] in pubnote.</t>
  </si>
  <si>
    <t>No result from solr with DOI ['10.3390/e25020190'] in pubnote.</t>
  </si>
  <si>
    <t>No result from solr with DOI ['10.3389/fchem.2022.1096014'] in pubnote.</t>
  </si>
  <si>
    <t>No result from solr with DOI ['10.22331/q-2017-04-25-1'] in pubnote.</t>
  </si>
  <si>
    <t>No result from solr with DOI ['10.22331/q-2018-03-14-56'] in pubnote.</t>
  </si>
  <si>
    <t>No result from solr with DOI ['10.22331/q-2018-03-30-59'] in pubnote.</t>
  </si>
  <si>
    <t>No result from solr with DOI ['10.22331/q-2018-07-05-75'] in pubnote.</t>
  </si>
  <si>
    <t>No result from solr with DOI ['10.22331/q-2018-07-26-78'] in pubnote.</t>
  </si>
  <si>
    <t>No result from solr with DOI ['10.22331/q-2018-09-03-89'] in pubnote.</t>
  </si>
  <si>
    <t>No result from solr with DOI ['10.22331/q-2021-06-24-481'] in pubnote.</t>
  </si>
  <si>
    <t>No result from solr with DOI ['10.22331/q-2021-06-29-483'] in pubnote.</t>
  </si>
  <si>
    <t>No result from solr with DOI ['10.22331/q-2021-06-29-484'] in pubnote.</t>
  </si>
  <si>
    <t>No result from solr with DOI ['10.22331/q-2021-06-29-487'] in pubnote.</t>
  </si>
  <si>
    <t>No result from solr with DOI ['10.22331/q-2021-06-29-488'] in pubnote.</t>
  </si>
  <si>
    <t>No result from solr with DOI ['10.22331/q-2022-03-30-675'] in pubnote.</t>
  </si>
  <si>
    <t>No result from solr with DOI ['10.22331/q-2022-04-04-680'] in pubnote.</t>
  </si>
  <si>
    <t>No result from solr with DOI ['10.22331/q-2022-04-13-684'] in pubnote.</t>
  </si>
  <si>
    <t>No result from solr with DOI ['10.22331/q-2022-04-13-686'] in pubnote.</t>
  </si>
  <si>
    <t>No result from solr with DOI ['10.22331/q-2022-04-13-688'] in pubnote.</t>
  </si>
  <si>
    <t>No result from solr with DOI ['10.22331/q-2022-04-15-689'] in pubnote.</t>
  </si>
  <si>
    <t>No result from solr with DOI ['10.22331/q-2022-04-20-692'] in pubnote.</t>
  </si>
  <si>
    <t>No result from solr with DOI ['10.22331/q-2022-06-23-744'] in pubnote.</t>
  </si>
  <si>
    <t>No result from solr with DOI ['10.22331/q-2023-01-19-902'] in pubnote.</t>
  </si>
  <si>
    <t>No result from solr with DOI ['10.22331/q-2023-01-19-903'] in pubnote.</t>
  </si>
  <si>
    <t>No result from solr with DOI ['10.1175/JAS-D-22-0083.1'] in pubnote.</t>
  </si>
  <si>
    <t>No result from solr with DOI ['10.1088/1741-4326/acae38'] in pubnote.</t>
  </si>
  <si>
    <t>No result from solr with DOI ['10.1088/1742-6596/2420/1/012021'] in pubnote.</t>
  </si>
  <si>
    <t>No result from solr with DOI ['10.1088/2632-2153/acafd5'] in pubnote.</t>
  </si>
  <si>
    <t>No result from solr with DOI ['10.1088/1361-6382/acb0ab'] in pubnote.</t>
  </si>
  <si>
    <t>No result from solr with DOI ['10.1088/1361-6420/acb007'] in pubnote.</t>
  </si>
  <si>
    <t>No result from solr with DOI ['10.1088/1367-2630/acb22c'] in pubnote.</t>
  </si>
  <si>
    <t>No result from solr with DOI ['10.1088/1751-8121/acb028'] in pubnote.</t>
  </si>
  <si>
    <t>{'abstract': 1.0, 'title': 0.82, 'author': 1, 'year': 1, 'doi': 1}</t>
  </si>
  <si>
    <t>{'abstract': 0.88, 'title': 0.86, 'author': 1, 'year': 1, 'doi': 1}</t>
  </si>
  <si>
    <t>No result from solr with DOI ['10.1002/adma.202207322'] in pubnote.</t>
  </si>
  <si>
    <t>{'abstract': None, 'title': 0.86, 'author': 1, 'year': 1}</t>
  </si>
  <si>
    <t>{'abstract': 0.99, 'title': 1.0, 'author': 0.67, 'year': 1, 'doi': 1}</t>
  </si>
  <si>
    <t>{'abstract': 1.0, 'title': 1.0, 'author': 0.67, 'year': 1, 'doi': 1}</t>
  </si>
  <si>
    <t>{'abstract': 1.0, 'title': 0.8, 'author': 1, 'year': 0.75, 'doi': 1}</t>
  </si>
  <si>
    <t>{'abstract': 0.99, 'title': 1.0, 'author': 0.5, 'year': 0.5, 'doi': 1}</t>
  </si>
  <si>
    <t>{'abstract': 1.0, 'title': 1.0, 'author': 0.6, 'year': 0.75, 'doi': 1}</t>
  </si>
  <si>
    <t>{'abstract': 1.0, 'title': 1.0, 'author': 0.5, 'year': 0.5, 'doi': 1}</t>
  </si>
  <si>
    <t>{'abstract': 0.89, 'title': 0.89, 'author': 1, 'year': 1, 'doi': 1}</t>
  </si>
  <si>
    <t>{'abstract': 1.0, 'title': 0.86, 'author': 1, 'year': 1, 'doi': 1}</t>
  </si>
  <si>
    <t>{'abstract': 0.96, 'title': 1.0, 'author': 0.75, 'year': 1, 'doi': 1}</t>
  </si>
  <si>
    <t>{'abstract': 0.97, 'title': 0.87, 'author': 1, 'year': 1, 'doi': 1}</t>
  </si>
  <si>
    <t>{'abstract': 1.0, 'title': 0.95, 'author': 0.83, 'year': 1, 'doi': 1}</t>
  </si>
  <si>
    <t>{'abstract': 0.98, 'title': 0.87, 'author': 1, 'year': 1, 'doi': 1}</t>
  </si>
  <si>
    <t>{'abstract': 0.99, 'title': 0.9, 'author': 0.94, 'year': 1, 'doi': 1}</t>
  </si>
  <si>
    <t>{'abstract': 0.99, 'title': 0.72, 'author': 1, 'year': 0.25, 'doi': 1}</t>
  </si>
  <si>
    <t>{'abstract': 1.0, 'title': 0.87, 'author': 1, 'year': 1, 'doi': 1}</t>
  </si>
  <si>
    <t>{'abstract': 0.91, 'title': 0.9, 'author': 1, 'year': 1, 'doi': 1}</t>
  </si>
  <si>
    <t>{'abstract': 1.0, 'title': 1.0, 'author': 0.75, 'year': 1, 'doi': 1}</t>
  </si>
  <si>
    <t>{'abstract': 0.96, 'title': 0.89, 'author': 1, 'year': 1, 'doi': 1}</t>
  </si>
  <si>
    <t>{'abstract': 0.98, 'title': 0.89, 'author': 1, 'year': 1, 'doi': 1}</t>
  </si>
  <si>
    <t>{'abstract': 0.99, 'title': 0.99, 'author': 0.8, 'year': 1, 'doi': 1}</t>
  </si>
  <si>
    <t>{'abstract': 0.99, 'title': 0.89, 'author': 1, 'year': 1, 'doi': 1}</t>
  </si>
  <si>
    <t>{'abstract': 1.0, 'title': 1.0, 'author': 0.67, 'year': 0.75, 'doi': 1}</t>
  </si>
  <si>
    <t>{'abstract': 0.83, 'title': 0.94, 'author': 1, 'year': 1, 'doi': 1}</t>
  </si>
  <si>
    <t>{'abstract': 1.0, 'title': 0.89, 'author': 1, 'year': 1, 'doi': 1}</t>
  </si>
  <si>
    <t>{'abstract': 0.91, 'title': 0.92, 'author': 1, 'year': 1, 'doi': 1}</t>
  </si>
  <si>
    <t>{'abstract': 0.99, 'title': 1.0, 'author': 0.8, 'year': 1, 'doi': 1}</t>
  </si>
  <si>
    <t>{'abstract': 0.99, 'title': 0.9, 'author': 1, 'year': 1, 'doi': 1}</t>
  </si>
  <si>
    <t>{'abstract': 1.0, 'title': 1.0, 'author': 0.8, 'year': 1, 'doi': 1}</t>
  </si>
  <si>
    <t>{'abstract': 1.0, 'title': 0.9, 'author': 1, 'year': 1, 'doi': 1}</t>
  </si>
  <si>
    <t>{'abstract': 0.98, 'title': 0.91, 'author': 1, 'year': 1, 'doi': 1}</t>
  </si>
  <si>
    <t>{'abstract': 0.98, 'title': 1.0, 'author': 0.83, 'year': 1, 'doi': 1}</t>
  </si>
  <si>
    <t>{'abstract': 0.99, 'title': 0.91, 'author': 1, 'year': 1, 'doi': 1}</t>
  </si>
  <si>
    <t>{'abstract': None, 'title': 1.0, 'author': 1, 'year': 0.75, 'doi': 1}</t>
  </si>
  <si>
    <t>{'abstract': 0.89, 'title': 0.94, 'author': 1, 'year': 1, 'doi': 1}</t>
  </si>
  <si>
    <t>{'abstract': 0.95, 'title': 1.0, 'author': 0.75, 'year': 0.75, 'doi': 1}</t>
  </si>
  <si>
    <t>{'abstract': 1.0, 'title': 0.91, 'author': 1, 'year': 1, 'doi': 1}</t>
  </si>
  <si>
    <t>{'abstract': 1.0, 'title': 1.0, 'author': 0.83, 'year': 1, 'doi': 1}</t>
  </si>
  <si>
    <t>{'abstract': 0.99, 'title': 0.92, 'author': 1, 'year': 1, 'doi': 1}</t>
  </si>
  <si>
    <t>{'abstract': 1.0, 'title': 0.92, 'author': 1, 'year': 1, 'doi': 1}</t>
  </si>
  <si>
    <t>{'abstract': 0.85, 'title': 0.97, 'author': 1, 'year': 1, 'doi': 1}</t>
  </si>
  <si>
    <t>{'abstract': 0.99, 'title': 0.93, 'author': 1, 'year': 1, 'doi': 1}</t>
  </si>
  <si>
    <t>{'abstract': 0.96, 'title': 1.0, 'author': 0.78, 'year': 0.75, 'doi': 1}</t>
  </si>
  <si>
    <t>{'abstract': 1.0, 'title': 1.0, 'author': 0.86, 'year': 1, 'doi': 1}</t>
  </si>
  <si>
    <t>{'abstract': 1.0, 'title': 0.93, 'author': 1, 'year': 1, 'doi': 1}</t>
  </si>
  <si>
    <t>{'abstract': 0.97, 'title': 0.94, 'author': 1, 'year': 1, 'doi': 1}</t>
  </si>
  <si>
    <t>{'abstract': 0.99, 'title': 1.0, 'author': 0.88, 'year': 1, 'doi': 1}</t>
  </si>
  <si>
    <t>{'abstract': 0.99, 'title': 0.94, 'author': 1, 'year': 1, 'doi': 1}</t>
  </si>
  <si>
    <t>{'abstract': 1.0, 'title': 0.89, 'author': 1, 'year': 0.75, 'doi': 1}</t>
  </si>
  <si>
    <t>{'abstract': 1.0, 'title': 1.0, 'author': 0.88, 'year': 1, 'doi': 1}</t>
  </si>
  <si>
    <t>{'abstract': 0.94, 'title': 1.0, 'author': 0.92, 'year': 1, 'doi': 1}</t>
  </si>
  <si>
    <t>{'abstract': 1.0, 'title': 0.94, 'author': 1, 'year': 1, 'doi': 1}</t>
  </si>
  <si>
    <t>No result from solr with DOI ['10.1109/TAP.2022.3217333'] in pubnote.</t>
  </si>
  <si>
    <t>{'abstract': None, 'title': 0.96, 'author': 1, 'year': 0.75}</t>
  </si>
  <si>
    <t>{'abstract': 0.98, 'title': 0.95, 'author': 1, 'year': 1, 'doi': 1}</t>
  </si>
  <si>
    <t>{'abstract': 1.0, 'title': 0.93, 'author': 0.93, 'year': 0.75, 'doi': 1}</t>
  </si>
  <si>
    <t>{'abstract': 1.0, 'title': 0.9, 'author': 1, 'year': 0.75, 'doi': 1}</t>
  </si>
  <si>
    <t>{'abstract': 1.0, 'title': 0.95, 'author': 1, 'year': 1, 'doi': 1}</t>
  </si>
  <si>
    <t>{'abstract': 1.0, 'title': 1.0, 'author': 0.8, 'year': 0.75, 'doi': 1}</t>
  </si>
  <si>
    <t>{'abstract': 0.99, 'title': 0.96, 'author': 1, 'year': 1, 'doi': 1}</t>
  </si>
  <si>
    <t>{'abstract': 0.98, 'title': 1.0, 'author': 0.83, 'year': 0.75, 'doi': 1}</t>
  </si>
  <si>
    <t>{'abstract': 1.0, 'title': 0.96, 'author': 1, 'year': 1, 'doi': 1}</t>
  </si>
  <si>
    <t>{'abstract': 0.97, 'title': 0.97, 'author': 1, 'year': 1, 'doi': 1}</t>
  </si>
  <si>
    <t>{'abstract': 0.87, 'title': 1.0, 'author': 1, 'year': 1, 'doi': 1}</t>
  </si>
  <si>
    <t>{'abstract': 0.98, 'title': 0.92, 'author': 1, 'year': 0.75, 'doi': 1}</t>
  </si>
  <si>
    <t>{'abstract': 0.98, 'title': 0.97, 'author': 1, 'year': 1, 'doi': 1}</t>
  </si>
  <si>
    <t>{'abstract': 0.99, 'title': 0.92, 'author': 1, 'year': 0.75, 'doi': 1}</t>
  </si>
  <si>
    <t>{'abstract': 1.0, 'title': 1.0, 'author': 0.83, 'year': 0.75, 'doi': 1}</t>
  </si>
  <si>
    <t>{'abstract': 0.99, 'title': 0.97, 'author': 1, 'year': 1, 'doi': 1}</t>
  </si>
  <si>
    <t>{'abstract': 1.0, 'title': 0.92, 'author': 1, 'year': 0.75, 'doi': 1}</t>
  </si>
  <si>
    <t>{'abstract': 1.0, 'title': 0.97, 'author': 1, 'year': 1, 'doi': 1}</t>
  </si>
  <si>
    <t>{'abstract': 0.97, 'title': 0.98, 'author': 1, 'year': 1, 'doi': 1}</t>
  </si>
  <si>
    <t>{'abstract': 0.91, 'title': 1.0, 'author': 1, 'year': 1, 'doi': 1}</t>
  </si>
  <si>
    <t>{'abstract': 0.98, 'title': 0.98, 'author': 1, 'year': 1, 'doi': 1}</t>
  </si>
  <si>
    <t>{'abstract': 0.92, 'title': 1.0, 'author': 1, 'year': 1, 'doi': 1}</t>
  </si>
  <si>
    <t>{'abstract': 0.99, 'title': 0.98, 'author': 1, 'year': 1, 'doi': 1}</t>
  </si>
  <si>
    <t>{'abstract': 1.0, 'title': 0.98, 'author': 1, 'year': 1, 'doi': 1}</t>
  </si>
  <si>
    <t>{'abstract': 0.97, 'title': 0.99, 'author': 1, 'year': 1, 'doi': 1}</t>
  </si>
  <si>
    <t>{'abstract': 1.0, 'title': 1.0, 'author': 0.86, 'year': 0.75, 'doi': 1}</t>
  </si>
  <si>
    <t>{'abstract': 0.94, 'title': 1.0, 'author': 1, 'year': 1, 'doi': 1}</t>
  </si>
  <si>
    <t>{'abstract': 0.98, 'title': 0.99, 'author': 1, 'year': 1, 'doi': 1}</t>
  </si>
  <si>
    <t>{'abstract': 0.95, 'title': 1.0, 'author': 1, 'year': 1, 'doi': 1}</t>
  </si>
  <si>
    <t>{'abstract': 0.99, 'title': 0.99, 'author': 1, 'year': 1, 'doi': 1}</t>
  </si>
  <si>
    <t>{'abstract': 0.96, 'title': 1.0, 'author': 1, 'year': 1, 'doi': 1}</t>
  </si>
  <si>
    <t>{'abstract': 1.0, 'title': 0.99, 'author': 1, 'year': 1, 'doi': 1}</t>
  </si>
  <si>
    <t>{'abstract': 0.97, 'title': 1.0, 'author': 1, 'year': 1, 'doi': 1}</t>
  </si>
  <si>
    <t>{'abstract': 1.0, 'title': 1.0, 'author': 0.67, 'year': 0.25, 'doi': 1}</t>
  </si>
  <si>
    <t>{'abstract': 0.98, 'title': 1.0, 'author': 1, 'year': 1, 'doi': 1}</t>
  </si>
  <si>
    <t>{'abstract': 1.0, 'title': 1.0, 'author': 0.89, 'year': 0.75, 'doi': 1}</t>
  </si>
  <si>
    <t>{'abstract': 0.99, 'title': 1.0, 'author': 1, 'year': 1, 'doi': 1}</t>
  </si>
  <si>
    <t>{'abstract': 0.93, 'title': 0.92, 'author': 1, 'year': 0.5, 'doi': 1}</t>
  </si>
  <si>
    <t>{'abstract': 1.0, 'title': 1.0, 'author': 1, 'year': 1, 'doi': 1}</t>
  </si>
  <si>
    <t>{'abstract': 1.0, 'title': 0.9, 'author': 1, 'year': 0.5, 'doi': 1}</t>
  </si>
  <si>
    <t>No result from solr with DOI ['10.1007/s11040-022-09444-3'] in pubnote.</t>
  </si>
  <si>
    <t>{'abstract': None, 'title': 0.89, 'author': 1, 'year': 1}</t>
  </si>
  <si>
    <t>{'abstract': 0.9, 'title': 0.99, 'author': 1, 'year': 0.75, 'doi': 1}</t>
  </si>
  <si>
    <t>{'abstract': 1.0, 'title': 0.96, 'author': 1, 'year': 0.75, 'doi': 1}</t>
  </si>
  <si>
    <t>{'abstract': 0.99, 'title': 0.92, 'author': 1, 'year': 0.5, 'doi': 1}</t>
  </si>
  <si>
    <t>{'abstract': 1.0, 'title': 0.98, 'author': 1, 'year': 0.75, 'doi': 1}</t>
  </si>
  <si>
    <t>{'abstract': 0.97, 'title': 1.0, 'author': 1, 'year': 0.75, 'doi': 1}</t>
  </si>
  <si>
    <t>{'abstract': 1.0, 'title': 0.99, 'author': 1, 'year': 0.75, 'doi': 1}</t>
  </si>
  <si>
    <t>{'abstract': 0.98, 'title': 1.0, 'author': 1, 'year': 0.75, 'doi': 1}</t>
  </si>
  <si>
    <t>{'abstract': 0.99, 'title': 1.0, 'author': 1, 'year': 0.75, 'doi': 1}</t>
  </si>
  <si>
    <t>{'abstract': 1.0, 'title': 1.0, 'author': 1, 'year': 0.75, 'doi': 1}</t>
  </si>
  <si>
    <t>No result from solr with DOI ['10.4171/aihpc/31'] in pubnote.</t>
  </si>
  <si>
    <t>{'abstract': None, 'title': 1.0, 'author': 1, 'year': 0.75}</t>
  </si>
  <si>
    <t>No result from solr with DOI ['10.1109/TIP.2022.3231532'] in pubnote.</t>
  </si>
  <si>
    <t>No result from solr with DOI ['10.1109/TIP.2022.3233187'] in pubnote.</t>
  </si>
  <si>
    <t>No result from solr with DOI ['10.1109/TIP.2023.3234498'] in pubnote.</t>
  </si>
  <si>
    <t>No result from solr with DOI ['10.1002/mma.8803'] in pubnote.</t>
  </si>
  <si>
    <t>No result from solr with DOI ['10.4171/aihpc/32'] in pubnote.</t>
  </si>
  <si>
    <t>{'abstract': None, 'title': 0.9, 'author': 1, 'year': 1}</t>
  </si>
  <si>
    <t>{'abstract': 0.96, 'title': 1.0, 'author': 1, 'year': 0.5, 'doi': 1}</t>
  </si>
  <si>
    <t>{'abstract': 0.99, 'title': 0.99, 'author': 1, 'year': 0.5, 'doi': 1}</t>
  </si>
  <si>
    <t>{'abstract': 0.97, 'title': 1.0, 'author': 1, 'year': 0.5, 'doi': 1}</t>
  </si>
  <si>
    <t>{'abstract': 0.98, 'title': 1.0, 'author': 1, 'year': 0.5, 'doi': 1}</t>
  </si>
  <si>
    <t>{'abstract': 0.99, 'title': 1.0, 'author': 1, 'year': 0.5, 'doi': 1}</t>
  </si>
  <si>
    <t>{'abstract': 1.0, 'title': 1.0, 'author': 1, 'year': 0.5, 'doi': 1}</t>
  </si>
  <si>
    <t>{'abstract': 0.94, 'title': 0.99, 'author': 1, 'year': 0.25, 'doi': 1}</t>
  </si>
  <si>
    <t>{'abstract': 1.0, 'title': 1.0, 'author': 1, 'year': 0.25, 'doi': 1}</t>
  </si>
  <si>
    <t>{'abstract': 1.0, 'title': 0.98, 'author': 1, 'year': 0, 'doi': 1}</t>
  </si>
  <si>
    <t>{'abstract': 1.0, 'title': 1.0, 'author': 1, 'year': 0, 'doi': 1}</t>
  </si>
  <si>
    <t>No result from solr with DOI ['10.1109/LSP.2023.3234800'] in pubnote.</t>
  </si>
  <si>
    <t>{'abstract': None, 'title': 0.98, 'author': 1, 'year': 1}</t>
  </si>
  <si>
    <t>No result from solr with DOI ['10.1016/j.bpj.2021.12.027'] in pubnote.</t>
  </si>
  <si>
    <t>{'abstract': None, 'title': 0.99, 'author': 1, 'year': 1}</t>
  </si>
  <si>
    <t>No result from solr with DOI ['10.1021/acsearthspacechem.1c00342'] in pubnote.</t>
  </si>
  <si>
    <t>No result from solr with DOI ['10.1109/TAP.2022.3217327'] in pubnote.</t>
  </si>
  <si>
    <t>No result from solr with DOI ['10.1109/TSP.2023.3234469'] in pubnote.</t>
  </si>
  <si>
    <t>No result from solr with DOI ['10.4171/aihpc/35'] in pubnote.</t>
  </si>
  <si>
    <t>{'abstract': None, 'title': 1.0, 'author': 1, 'year': 1}</t>
  </si>
  <si>
    <t>No result from solr with DOI ['10.1016/j.cma.2022.115875'] in pubnote.</t>
  </si>
  <si>
    <t>No result from solr with DOI ['10.1016/j.cma.2023.115893'] in pubnote.</t>
  </si>
  <si>
    <t>No result from solr with DOI ['10.1109/TAP.2022.3213945'] in pubnote.</t>
  </si>
  <si>
    <t>No result from solr with DOI ['10.1109/TNS.2022.3226707'] in pubnote.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</si>
</sst>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88"/>
    <col customWidth="1" min="2" max="2" width="20.63"/>
    <col customWidth="1" min="4" max="4" width="18.5"/>
    <col customWidth="1" min="5" max="5" width="21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 t="str">
        <f>HYPERLINK("https://ui.adsabs.harvard.edu/abs/2023JPhCo...7a5001S/abstract","2023JPhCo...7a5001S")</f>
        <v>2023JPhCo...7a5001S</v>
      </c>
      <c r="B2" s="2" t="str">
        <f>HYPERLINK("https://ui.adsabs.harvard.edu/abs/2023arXiv230108396S/abstract","2023arXiv230108396S")</f>
        <v>2023arXiv230108396S</v>
      </c>
      <c r="C2" s="1" t="s">
        <v>9</v>
      </c>
      <c r="D2" s="2" t="str">
        <f>HYPERLINK("https://ui.adsabs.harvard.edu/abs/2023arXiv230108396S/abstract","2023arXiv230108396S")</f>
        <v>2023arXiv230108396S</v>
      </c>
      <c r="F2" s="1" t="s">
        <v>10</v>
      </c>
      <c r="G2" s="1" t="s">
        <v>11</v>
      </c>
      <c r="H2" s="1">
        <v>0.0</v>
      </c>
    </row>
    <row r="3">
      <c r="A3" s="2" t="str">
        <f>HYPERLINK("https://ui.adsabs.harvard.edu/abs/2023JMP....64a1507L/abstract","2023JMP....64a1507L")</f>
        <v>2023JMP....64a1507L</v>
      </c>
      <c r="B3" s="2" t="str">
        <f>HYPERLINK("https://ui.adsabs.harvard.edu/abs/2022arXiv220907281L/abstract","2022arXiv220907281L")</f>
        <v>2022arXiv220907281L</v>
      </c>
      <c r="C3" s="1" t="s">
        <v>12</v>
      </c>
      <c r="F3" s="1" t="s">
        <v>13</v>
      </c>
      <c r="G3" s="1" t="s">
        <v>11</v>
      </c>
      <c r="H3" s="1">
        <v>0.0</v>
      </c>
    </row>
    <row r="4">
      <c r="A4" s="2" t="str">
        <f>HYPERLINK("https://ui.adsabs.harvard.edu/abs/2022ConPh..63...34M/abstract","2022ConPh..63...34M")</f>
        <v>2022ConPh..63...34M</v>
      </c>
      <c r="B4" s="2" t="str">
        <f>HYPERLINK("https://ui.adsabs.harvard.edu/abs/2022arXiv220911954M/abstract","2022arXiv220911954M")</f>
        <v>2022arXiv220911954M</v>
      </c>
      <c r="C4" s="1" t="s">
        <v>9</v>
      </c>
      <c r="D4" s="2" t="str">
        <f>HYPERLINK("https://ui.adsabs.harvard.edu/abs/2022arXiv220911954M/abstract","2022arXiv220911954M")</f>
        <v>2022arXiv220911954M</v>
      </c>
      <c r="F4" s="1" t="s">
        <v>14</v>
      </c>
      <c r="G4" s="1" t="s">
        <v>11</v>
      </c>
      <c r="H4" s="1">
        <v>0.0</v>
      </c>
    </row>
    <row r="5">
      <c r="A5" s="2" t="str">
        <f>HYPERLINK("https://ui.adsabs.harvard.edu/abs/2023ITAP...71..650K/abstract","2023ITAP...71..650K")</f>
        <v>2023ITAP...71..650K</v>
      </c>
      <c r="B5" s="2" t="str">
        <f>HYPERLINK("https://ui.adsabs.harvard.edu/abs/2022arXiv220600058K/abstract","2022arXiv220600058K")</f>
        <v>2022arXiv220600058K</v>
      </c>
      <c r="C5" s="1" t="s">
        <v>9</v>
      </c>
      <c r="D5" s="2" t="str">
        <f>HYPERLINK("https://ui.adsabs.harvard.edu/abs/2022arXiv220600058K/abstract","2022arXiv220600058K")</f>
        <v>2022arXiv220600058K</v>
      </c>
      <c r="F5" s="1" t="s">
        <v>15</v>
      </c>
      <c r="G5" s="1" t="s">
        <v>11</v>
      </c>
      <c r="H5" s="1">
        <v>0.0</v>
      </c>
    </row>
    <row r="6">
      <c r="A6" s="2" t="str">
        <f>HYPERLINK("https://ui.adsabs.harvard.edu/abs/2023JPSJ...92b3601T/abstract","2023JPSJ...92b3601T")</f>
        <v>2023JPSJ...92b3601T</v>
      </c>
      <c r="B6" s="2" t="str">
        <f>HYPERLINK("https://ui.adsabs.harvard.edu/abs/2022arXiv221007569T/abstract","2022arXiv221007569T")</f>
        <v>2022arXiv221007569T</v>
      </c>
      <c r="C6" s="1" t="s">
        <v>9</v>
      </c>
      <c r="D6" s="2" t="str">
        <f>HYPERLINK("https://ui.adsabs.harvard.edu/abs/2022arXiv221007569T/abstract","2022arXiv221007569T")</f>
        <v>2022arXiv221007569T</v>
      </c>
      <c r="F6" s="1" t="s">
        <v>16</v>
      </c>
      <c r="G6" s="1" t="s">
        <v>11</v>
      </c>
      <c r="H6" s="1">
        <v>0.0</v>
      </c>
    </row>
    <row r="7">
      <c r="A7" s="2" t="str">
        <f>HYPERLINK("https://ui.adsabs.harvard.edu/abs/2020Quant...4..240S/abstract","2020Quant...4..240S")</f>
        <v>2020Quant...4..240S</v>
      </c>
      <c r="B7" s="2" t="str">
        <f>HYPERLINK("https://ui.adsabs.harvard.edu/abs/2019arXiv191101730S/abstract","2019arXiv191101730S")</f>
        <v>2019arXiv191101730S</v>
      </c>
      <c r="C7" s="1" t="s">
        <v>9</v>
      </c>
      <c r="D7" s="2" t="str">
        <f>HYPERLINK("https://ui.adsabs.harvard.edu/abs/2019arXiv191101730S/abstract","2019arXiv191101730S")</f>
        <v>2019arXiv191101730S</v>
      </c>
      <c r="F7" s="1" t="s">
        <v>17</v>
      </c>
      <c r="G7" s="1" t="s">
        <v>11</v>
      </c>
      <c r="H7" s="1">
        <v>0.0</v>
      </c>
    </row>
    <row r="8">
      <c r="A8" s="2" t="str">
        <f>HYPERLINK("https://ui.adsabs.harvard.edu/abs/2023OptLE.16307479R/abstract","2023OptLE.16307479R")</f>
        <v>2023OptLE.16307479R</v>
      </c>
      <c r="E8" s="2" t="str">
        <f>HYPERLINK("https://ui.adsabs.harvard.edu/abs/2021arXiv211108396R/abstract","2021arXiv211108396R")</f>
        <v>2021arXiv211108396R</v>
      </c>
      <c r="F8" s="1" t="s">
        <v>18</v>
      </c>
      <c r="G8" s="1" t="s">
        <v>11</v>
      </c>
      <c r="H8" s="1">
        <v>0.0141591</v>
      </c>
      <c r="I8" s="1" t="s">
        <v>19</v>
      </c>
    </row>
    <row r="9">
      <c r="A9" s="2" t="str">
        <f>HYPERLINK("https://ui.adsabs.harvard.edu/abs/2023PhRvD.107b4026H/abstract","2023PhRvD.107b4026H")</f>
        <v>2023PhRvD.107b4026H</v>
      </c>
      <c r="E9" s="2" t="str">
        <f>HYPERLINK("https://ui.adsabs.harvard.edu/abs/2022arXiv220907049H/abstract","2022arXiv220907049H")</f>
        <v>2022arXiv220907049H</v>
      </c>
      <c r="F9" s="1" t="s">
        <v>20</v>
      </c>
      <c r="G9" s="1" t="s">
        <v>11</v>
      </c>
      <c r="H9" s="1">
        <v>0.0155782</v>
      </c>
      <c r="I9" s="1" t="s">
        <v>21</v>
      </c>
    </row>
    <row r="10">
      <c r="A10" s="2" t="str">
        <f>HYPERLINK("https://ui.adsabs.harvard.edu/abs/2023PhRvB.107d5305B/abstract","2023PhRvB.107d5305B")</f>
        <v>2023PhRvB.107d5305B</v>
      </c>
      <c r="E10" s="2" t="str">
        <f>HYPERLINK("https://ui.adsabs.harvard.edu/abs/2022arXiv220811521B/abstract","2022arXiv220811521B")</f>
        <v>2022arXiv220811521B</v>
      </c>
      <c r="F10" s="1" t="s">
        <v>22</v>
      </c>
      <c r="G10" s="1" t="s">
        <v>11</v>
      </c>
      <c r="H10" s="1">
        <v>0.0175419</v>
      </c>
      <c r="I10" s="1" t="s">
        <v>23</v>
      </c>
    </row>
    <row r="11">
      <c r="A11" s="2" t="str">
        <f>HYPERLINK("https://ui.adsabs.harvard.edu/abs/2023Mate...16..965K/abstract","2023Mate...16..965K")</f>
        <v>2023Mate...16..965K</v>
      </c>
      <c r="E11" s="2" t="str">
        <f>HYPERLINK("https://ui.adsabs.harvard.edu/abs/2021arXiv211200373K/abstract","2021arXiv211200373K")</f>
        <v>2021arXiv211200373K</v>
      </c>
      <c r="F11" s="1" t="s">
        <v>24</v>
      </c>
      <c r="G11" s="1" t="s">
        <v>11</v>
      </c>
      <c r="H11" s="1">
        <v>0.019895</v>
      </c>
      <c r="I11" s="1" t="s">
        <v>25</v>
      </c>
    </row>
    <row r="12">
      <c r="A12" s="2" t="str">
        <f>HYPERLINK("https://ui.adsabs.harvard.edu/abs/2023Sci...379..278Z/abstract","2023Sci...379..278Z")</f>
        <v>2023Sci...379..278Z</v>
      </c>
      <c r="E12" s="2" t="str">
        <f>HYPERLINK("https://ui.adsabs.harvard.edu/abs/2022arXiv220612803Z/abstract","2022arXiv220612803Z")</f>
        <v>2022arXiv220612803Z</v>
      </c>
      <c r="F12" s="1" t="s">
        <v>26</v>
      </c>
      <c r="G12" s="1" t="s">
        <v>11</v>
      </c>
      <c r="H12" s="1">
        <v>0.0460382</v>
      </c>
      <c r="I12" s="1" t="s">
        <v>27</v>
      </c>
    </row>
    <row r="13">
      <c r="A13" s="2" t="str">
        <f>HYPERLINK("https://ui.adsabs.harvard.edu/abs/2023OExpr..31.4094M/abstract","2023OExpr..31.4094M")</f>
        <v>2023OExpr..31.4094M</v>
      </c>
      <c r="E13" s="2" t="str">
        <f>HYPERLINK("https://ui.adsabs.harvard.edu/abs/2021arXiv210315795M/abstract","2021arXiv210315795M")</f>
        <v>2021arXiv210315795M</v>
      </c>
      <c r="F13" s="1" t="s">
        <v>28</v>
      </c>
      <c r="G13" s="1" t="s">
        <v>11</v>
      </c>
      <c r="H13" s="1">
        <v>0.0589942</v>
      </c>
      <c r="I13" s="1" t="s">
        <v>29</v>
      </c>
    </row>
    <row r="14">
      <c r="A14" s="2" t="str">
        <f>HYPERLINK("https://ui.adsabs.harvard.edu/abs/2023PatRe.13709256D/abstract","2023PatRe.13709256D")</f>
        <v>2023PatRe.13709256D</v>
      </c>
      <c r="E14" s="2" t="str">
        <f>HYPERLINK("https://ui.adsabs.harvard.edu/abs/2021arXiv210311696C/abstract","2021arXiv210311696C")</f>
        <v>2021arXiv210311696C</v>
      </c>
      <c r="F14" s="1" t="s">
        <v>30</v>
      </c>
      <c r="G14" s="1" t="s">
        <v>11</v>
      </c>
      <c r="H14" s="1">
        <v>0.0733713</v>
      </c>
      <c r="I14" s="1" t="s">
        <v>31</v>
      </c>
    </row>
    <row r="15">
      <c r="A15" s="2" t="str">
        <f>HYPERLINK("https://ui.adsabs.harvard.edu/abs/2023CSF...16813123B/abstract","2023CSF...16813123B")</f>
        <v>2023CSF...16813123B</v>
      </c>
      <c r="E15" s="2" t="str">
        <f>HYPERLINK("https://ui.adsabs.harvard.edu/abs/2022arXiv221102424B/abstract","2022arXiv221102424B")</f>
        <v>2022arXiv221102424B</v>
      </c>
      <c r="F15" s="1" t="s">
        <v>32</v>
      </c>
      <c r="G15" s="1" t="s">
        <v>11</v>
      </c>
      <c r="H15" s="1">
        <v>0.130118</v>
      </c>
      <c r="I15" s="1" t="s">
        <v>33</v>
      </c>
    </row>
    <row r="16">
      <c r="A16" s="2" t="str">
        <f>HYPERLINK("https://ui.adsabs.harvard.edu/abs/2023PhRvB.107c5140T/abstract","2023PhRvB.107c5140T")</f>
        <v>2023PhRvB.107c5140T</v>
      </c>
      <c r="E16" s="2" t="str">
        <f>HYPERLINK("https://ui.adsabs.harvard.edu/abs/2021arXiv211103348T/abstract","2021arXiv211103348T")</f>
        <v>2021arXiv211103348T</v>
      </c>
      <c r="F16" s="1" t="s">
        <v>34</v>
      </c>
      <c r="G16" s="1" t="s">
        <v>11</v>
      </c>
      <c r="H16" s="1">
        <v>0.1487105</v>
      </c>
      <c r="I16" s="1" t="s">
        <v>35</v>
      </c>
    </row>
    <row r="17">
      <c r="A17" s="2" t="str">
        <f>HYPERLINK("https://ui.adsabs.harvard.edu/abs/2023PhyD..44633647W/abstract","2023PhyD..44633647W")</f>
        <v>2023PhyD..44633647W</v>
      </c>
      <c r="E17" s="2" t="str">
        <f>HYPERLINK("https://ui.adsabs.harvard.edu/abs/2020arXiv200504494W/abstract","2020arXiv200504494W")</f>
        <v>2020arXiv200504494W</v>
      </c>
      <c r="F17" s="1" t="s">
        <v>36</v>
      </c>
      <c r="G17" s="1" t="s">
        <v>11</v>
      </c>
      <c r="H17" s="1">
        <v>0.1563117</v>
      </c>
      <c r="I17" s="1" t="s">
        <v>37</v>
      </c>
    </row>
    <row r="18">
      <c r="A18" s="2" t="str">
        <f>HYPERLINK("https://ui.adsabs.harvard.edu/abs/2023PhRvA.107a3709C/abstract","2023PhRvA.107a3709C")</f>
        <v>2023PhRvA.107a3709C</v>
      </c>
      <c r="E18" s="2" t="str">
        <f>HYPERLINK("https://ui.adsabs.harvard.edu/abs/2022arXiv220709261C/abstract","2022arXiv220709261C")</f>
        <v>2022arXiv220709261C</v>
      </c>
      <c r="F18" s="1" t="s">
        <v>38</v>
      </c>
      <c r="G18" s="1" t="s">
        <v>11</v>
      </c>
      <c r="H18" s="1">
        <v>0.2043093</v>
      </c>
      <c r="I18" s="1" t="s">
        <v>39</v>
      </c>
    </row>
    <row r="19">
      <c r="A19" s="2" t="str">
        <f>HYPERLINK("https://ui.adsabs.harvard.edu/abs/2023PhRvX..13a1005L/abstract","2023PhRvX..13a1005L")</f>
        <v>2023PhRvX..13a1005L</v>
      </c>
      <c r="E19" s="2" t="str">
        <f>HYPERLINK("https://ui.adsabs.harvard.edu/abs/2022arXiv220204845L/abstract","2022arXiv220204845L")</f>
        <v>2022arXiv220204845L</v>
      </c>
      <c r="F19" s="1" t="s">
        <v>40</v>
      </c>
      <c r="G19" s="1" t="s">
        <v>11</v>
      </c>
      <c r="H19" s="1">
        <v>0.2131061</v>
      </c>
      <c r="I19" s="1" t="s">
        <v>41</v>
      </c>
    </row>
    <row r="20">
      <c r="A20" s="2" t="str">
        <f>HYPERLINK("https://ui.adsabs.harvard.edu/abs/2023ApPhL.122c1107Z/abstract","2023ApPhL.122c1107Z")</f>
        <v>2023ApPhL.122c1107Z</v>
      </c>
      <c r="E20" s="2" t="str">
        <f>HYPERLINK("https://ui.adsabs.harvard.edu/abs/2022arXiv221014553Z/abstract","2022arXiv221014553Z")</f>
        <v>2022arXiv221014553Z</v>
      </c>
      <c r="F20" s="1" t="s">
        <v>42</v>
      </c>
      <c r="G20" s="1" t="s">
        <v>11</v>
      </c>
      <c r="H20" s="1">
        <v>0.2297882</v>
      </c>
      <c r="I20" s="1" t="s">
        <v>43</v>
      </c>
    </row>
    <row r="21">
      <c r="A21" s="2" t="str">
        <f>HYPERLINK("https://ui.adsabs.harvard.edu/abs/2023Natur.613...42Y/abstract","2023Natur.613...42Y")</f>
        <v>2023Natur.613...42Y</v>
      </c>
      <c r="E21" s="2" t="str">
        <f>HYPERLINK("https://ui.adsabs.harvard.edu/abs/2021arXiv211003550Y/abstract","2021arXiv211003550Y")</f>
        <v>2021arXiv211003550Y</v>
      </c>
      <c r="F21" s="1" t="s">
        <v>44</v>
      </c>
      <c r="G21" s="1" t="s">
        <v>11</v>
      </c>
      <c r="H21" s="1">
        <v>0.2364235</v>
      </c>
      <c r="I21" s="1" t="s">
        <v>45</v>
      </c>
    </row>
    <row r="22">
      <c r="A22" s="2" t="str">
        <f>HYPERLINK("https://ui.adsabs.harvard.edu/abs/2023Nonli..36.1349S/abstract","2023Nonli..36.1349S")</f>
        <v>2023Nonli..36.1349S</v>
      </c>
      <c r="E22" s="2" t="str">
        <f>HYPERLINK("https://ui.adsabs.harvard.edu/abs/2011arXiv1108.5773S/abstract","2011arXiv1108.5773S")</f>
        <v>2011arXiv1108.5773S</v>
      </c>
      <c r="F22" s="1" t="s">
        <v>46</v>
      </c>
      <c r="G22" s="1" t="s">
        <v>11</v>
      </c>
      <c r="H22" s="1">
        <v>0.2800566</v>
      </c>
      <c r="I22" s="1" t="s">
        <v>47</v>
      </c>
    </row>
    <row r="23">
      <c r="A23" s="2" t="str">
        <f>HYPERLINK("https://ui.adsabs.harvard.edu/abs/2023NIMPB.536..113S/abstract","2023NIMPB.536..113S")</f>
        <v>2023NIMPB.536..113S</v>
      </c>
      <c r="E23" s="2" t="str">
        <f>HYPERLINK("https://ui.adsabs.harvard.edu/abs/2022arXiv221202152S/abstract","2022arXiv221202152S")</f>
        <v>2022arXiv221202152S</v>
      </c>
      <c r="F23" s="1" t="s">
        <v>48</v>
      </c>
      <c r="G23" s="1" t="s">
        <v>11</v>
      </c>
      <c r="H23" s="1">
        <v>0.2940829</v>
      </c>
      <c r="I23" s="1" t="s">
        <v>49</v>
      </c>
    </row>
    <row r="24">
      <c r="A24" s="2" t="str">
        <f>HYPERLINK("https://ui.adsabs.harvard.edu/abs/2023PhRvB.107d5131P/abstract","2023PhRvB.107d5131P")</f>
        <v>2023PhRvB.107d5131P</v>
      </c>
      <c r="E24" s="2" t="str">
        <f>HYPERLINK("https://ui.adsabs.harvard.edu/abs/2022arXiv221106043P/abstract","2022arXiv221106043P")</f>
        <v>2022arXiv221106043P</v>
      </c>
      <c r="F24" s="1" t="s">
        <v>50</v>
      </c>
      <c r="G24" s="1" t="s">
        <v>11</v>
      </c>
      <c r="H24" s="1">
        <v>0.2950815</v>
      </c>
      <c r="I24" s="1" t="s">
        <v>51</v>
      </c>
    </row>
    <row r="25">
      <c r="A25" s="2" t="str">
        <f>HYPERLINK("https://ui.adsabs.harvard.edu/abs/2023NaRes..16.1441V/abstract","2023NaRes..16.1441V")</f>
        <v>2023NaRes..16.1441V</v>
      </c>
      <c r="E25" s="2" t="str">
        <f>HYPERLINK("https://ui.adsabs.harvard.edu/abs/2020arXiv200514479V/abstract","2020arXiv200514479V")</f>
        <v>2020arXiv200514479V</v>
      </c>
      <c r="F25" s="1" t="s">
        <v>52</v>
      </c>
      <c r="G25" s="1" t="s">
        <v>11</v>
      </c>
      <c r="H25" s="1">
        <v>0.3014588</v>
      </c>
      <c r="I25" s="1" t="s">
        <v>53</v>
      </c>
    </row>
    <row r="26">
      <c r="A26" s="2" t="str">
        <f>HYPERLINK("https://ui.adsabs.harvard.edu/abs/2023OExpr..31.3804T/abstract","2023OExpr..31.3804T")</f>
        <v>2023OExpr..31.3804T</v>
      </c>
      <c r="E26" s="2" t="str">
        <f>HYPERLINK("https://ui.adsabs.harvard.edu/abs/2021arXiv210411387T/abstract","2021arXiv210411387T")</f>
        <v>2021arXiv210411387T</v>
      </c>
      <c r="F26" s="1" t="s">
        <v>54</v>
      </c>
      <c r="G26" s="1" t="s">
        <v>11</v>
      </c>
      <c r="H26" s="1">
        <v>0.3069946</v>
      </c>
      <c r="I26" s="1" t="s">
        <v>55</v>
      </c>
    </row>
    <row r="27">
      <c r="A27" s="2" t="str">
        <f>HYPERLINK("https://ui.adsabs.harvard.edu/abs/2023PhRvB.107d1107F/abstract","2023PhRvB.107d1107F")</f>
        <v>2023PhRvB.107d1107F</v>
      </c>
      <c r="E27" s="2" t="str">
        <f>HYPERLINK("https://ui.adsabs.harvard.edu/abs/2022arXiv220409950F/abstract","2022arXiv220409950F")</f>
        <v>2022arXiv220409950F</v>
      </c>
      <c r="F27" s="1" t="s">
        <v>56</v>
      </c>
      <c r="G27" s="1" t="s">
        <v>11</v>
      </c>
      <c r="H27" s="1">
        <v>0.3639911</v>
      </c>
      <c r="I27" s="1" t="s">
        <v>57</v>
      </c>
    </row>
    <row r="28">
      <c r="A28" s="2" t="str">
        <f>HYPERLINK("https://ui.adsabs.harvard.edu/abs/2023PhRvB.107b0505M/abstract","2023PhRvB.107b0505M")</f>
        <v>2023PhRvB.107b0505M</v>
      </c>
      <c r="E28" s="2" t="str">
        <f>HYPERLINK("https://ui.adsabs.harvard.edu/abs/2019arXiv190801991M/abstract","2019arXiv190801991M")</f>
        <v>2019arXiv190801991M</v>
      </c>
      <c r="F28" s="1" t="s">
        <v>58</v>
      </c>
      <c r="G28" s="1" t="s">
        <v>11</v>
      </c>
      <c r="H28" s="1">
        <v>0.3662825</v>
      </c>
      <c r="I28" s="1" t="s">
        <v>59</v>
      </c>
    </row>
    <row r="29">
      <c r="A29" s="2" t="str">
        <f>HYPERLINK("https://ui.adsabs.harvard.edu/abs/2023JCPX...1700124L/abstract","2023JCPX...1700124L")</f>
        <v>2023JCPX...1700124L</v>
      </c>
      <c r="E29" s="2" t="str">
        <f>HYPERLINK("https://ui.adsabs.harvard.edu/abs/2021arXiv210908121L/abstract","2021arXiv210908121L")</f>
        <v>2021arXiv210908121L</v>
      </c>
      <c r="F29" s="1" t="s">
        <v>60</v>
      </c>
      <c r="G29" s="1" t="s">
        <v>11</v>
      </c>
      <c r="H29" s="1">
        <v>0.3824913</v>
      </c>
      <c r="I29" s="1" t="s">
        <v>61</v>
      </c>
    </row>
    <row r="30">
      <c r="A30" s="2" t="str">
        <f>HYPERLINK("https://ui.adsabs.harvard.edu/abs/2022Ge&amp;Ae..62..945V/abstract","2022Ge&amp;Ae..62..945V")</f>
        <v>2022Ge&amp;Ae..62..945V</v>
      </c>
      <c r="E30" s="2" t="str">
        <f>HYPERLINK("https://ui.adsabs.harvard.edu/abs/2022arXiv220608700V/abstract","2022arXiv220608700V")</f>
        <v>2022arXiv220608700V</v>
      </c>
      <c r="F30" s="1" t="s">
        <v>62</v>
      </c>
      <c r="G30" s="1" t="s">
        <v>11</v>
      </c>
      <c r="H30" s="1">
        <v>0.409046</v>
      </c>
      <c r="I30" s="1" t="s">
        <v>63</v>
      </c>
    </row>
    <row r="31">
      <c r="A31" s="2" t="str">
        <f>HYPERLINK("https://ui.adsabs.harvard.edu/abs/2023NatPh..19...25K/abstract","2023NatPh..19...25K")</f>
        <v>2023NatPh..19...25K</v>
      </c>
      <c r="E31" s="2" t="str">
        <f>HYPERLINK("https://ui.adsabs.harvard.edu/abs/2021arXiv210909540K/abstract","2021arXiv210909540K")</f>
        <v>2021arXiv210909540K</v>
      </c>
      <c r="F31" s="1" t="s">
        <v>64</v>
      </c>
      <c r="G31" s="1" t="s">
        <v>11</v>
      </c>
      <c r="H31" s="1">
        <v>0.4386243</v>
      </c>
      <c r="I31" s="1" t="s">
        <v>65</v>
      </c>
    </row>
    <row r="32">
      <c r="A32" s="2" t="str">
        <f>HYPERLINK("https://ui.adsabs.harvard.edu/abs/2023NJPh...25a3016C/abstract","2023NJPh...25a3016C")</f>
        <v>2023NJPh...25a3016C</v>
      </c>
      <c r="E32" s="2" t="str">
        <f>HYPERLINK("https://ui.adsabs.harvard.edu/abs/2021arXiv210316876C/abstract","2021arXiv210316876C")</f>
        <v>2021arXiv210316876C</v>
      </c>
      <c r="F32" s="1" t="s">
        <v>66</v>
      </c>
      <c r="G32" s="1" t="s">
        <v>11</v>
      </c>
      <c r="H32" s="1">
        <v>0.4402914</v>
      </c>
      <c r="I32" s="1" t="s">
        <v>67</v>
      </c>
    </row>
    <row r="33">
      <c r="A33" s="2" t="str">
        <f>HYPERLINK("https://ui.adsabs.harvard.edu/abs/2023IJTP...62...15R/abstract","2023IJTP...62...15R")</f>
        <v>2023IJTP...62...15R</v>
      </c>
      <c r="E33" s="2" t="str">
        <f>HYPERLINK("https://ui.adsabs.harvard.edu/abs/2022arXiv220209793S/abstract","2022arXiv220209793S")</f>
        <v>2022arXiv220209793S</v>
      </c>
      <c r="F33" s="1" t="s">
        <v>68</v>
      </c>
      <c r="G33" s="1" t="s">
        <v>11</v>
      </c>
      <c r="H33" s="1">
        <v>0.4673805</v>
      </c>
      <c r="I33" s="1" t="s">
        <v>69</v>
      </c>
    </row>
    <row r="34">
      <c r="A34" s="2" t="str">
        <f>HYPERLINK("https://ui.adsabs.harvard.edu/abs/2023JAP...133c5901H/abstract","2023JAP...133c5901H")</f>
        <v>2023JAP...133c5901H</v>
      </c>
      <c r="B34" s="2" t="str">
        <f>HYPERLINK("https://ui.adsabs.harvard.edu/abs/2022arXiv221103748H/abstract","2022arXiv221103748H")</f>
        <v>2022arXiv221103748H</v>
      </c>
      <c r="C34" s="1" t="s">
        <v>70</v>
      </c>
      <c r="E34" s="2" t="str">
        <f>HYPERLINK("https://ui.adsabs.harvard.edu/abs/2022arXiv221103748H/abstract","2022arXiv221103748H")</f>
        <v>2022arXiv221103748H</v>
      </c>
      <c r="F34" s="1" t="s">
        <v>71</v>
      </c>
      <c r="G34" s="1" t="s">
        <v>72</v>
      </c>
      <c r="H34" s="1">
        <v>0.5030234</v>
      </c>
      <c r="I34" s="1" t="s">
        <v>73</v>
      </c>
    </row>
    <row r="35">
      <c r="A35" s="2" t="str">
        <f>HYPERLINK("https://ui.adsabs.harvard.edu/abs/2023NatSR..13..160A/abstract","2023NatSR..13..160A")</f>
        <v>2023NatSR..13..160A</v>
      </c>
      <c r="E35" s="2" t="str">
        <f>HYPERLINK("https://ui.adsabs.harvard.edu/abs/2019arXiv191201983A/abstract","2019arXiv191201983A")</f>
        <v>2019arXiv191201983A</v>
      </c>
      <c r="F35" s="1" t="s">
        <v>74</v>
      </c>
      <c r="G35" s="1" t="s">
        <v>72</v>
      </c>
      <c r="H35" s="1">
        <v>0.5097597</v>
      </c>
      <c r="I35" s="1" t="s">
        <v>75</v>
      </c>
    </row>
    <row r="36">
      <c r="A36" s="2" t="str">
        <f>HYPERLINK("https://ui.adsabs.harvard.edu/abs/2023PhLB..83837632B/abstract","2023PhLB..83837632B")</f>
        <v>2023PhLB..83837632B</v>
      </c>
      <c r="E36" s="2" t="str">
        <f>HYPERLINK("https://ui.adsabs.harvard.edu/abs/2018arXiv180902090B/abstract","2018arXiv180902090B")</f>
        <v>2018arXiv180902090B</v>
      </c>
      <c r="F36" s="1" t="s">
        <v>76</v>
      </c>
      <c r="G36" s="1" t="s">
        <v>72</v>
      </c>
      <c r="H36" s="1">
        <v>0.5203392</v>
      </c>
      <c r="I36" s="1" t="s">
        <v>77</v>
      </c>
    </row>
    <row r="37">
      <c r="A37" s="2" t="str">
        <f>HYPERLINK("https://ui.adsabs.harvard.edu/abs/2023Natur.613..268Z/abstract","2023Natur.613..268Z")</f>
        <v>2023Natur.613..268Z</v>
      </c>
      <c r="E37" s="2" t="str">
        <f>HYPERLINK("https://ui.adsabs.harvard.edu/abs/2022arXiv220505087Z/abstract","2022arXiv220505087Z")</f>
        <v>2022arXiv220505087Z</v>
      </c>
      <c r="F37" s="1" t="s">
        <v>78</v>
      </c>
      <c r="G37" s="1" t="s">
        <v>72</v>
      </c>
      <c r="H37" s="1">
        <v>0.5474739</v>
      </c>
      <c r="I37" s="1" t="s">
        <v>75</v>
      </c>
    </row>
    <row r="38">
      <c r="A38" s="2" t="str">
        <f>HYPERLINK("https://ui.adsabs.harvard.edu/abs/2023SMat...19..451M/abstract","2023SMat...19..451M")</f>
        <v>2023SMat...19..451M</v>
      </c>
      <c r="B38" s="2" t="str">
        <f>HYPERLINK("https://ui.adsabs.harvard.edu/abs/2022arXiv221000617M/abstract","2022arXiv221000617M")</f>
        <v>2022arXiv221000617M</v>
      </c>
      <c r="C38" s="1" t="s">
        <v>70</v>
      </c>
      <c r="E38" s="2" t="str">
        <f>HYPERLINK("https://ui.adsabs.harvard.edu/abs/2022arXiv221000617M/abstract","2022arXiv221000617M")</f>
        <v>2022arXiv221000617M</v>
      </c>
      <c r="F38" s="1" t="s">
        <v>79</v>
      </c>
      <c r="G38" s="1" t="s">
        <v>72</v>
      </c>
      <c r="H38" s="1">
        <v>0.5652142</v>
      </c>
      <c r="I38" s="1" t="s">
        <v>80</v>
      </c>
    </row>
    <row r="39">
      <c r="A39" s="2" t="str">
        <f>HYPERLINK("https://ui.adsabs.harvard.edu/abs/2023NaPho..17...48G/abstract","2023NaPho..17...48G")</f>
        <v>2023NaPho..17...48G</v>
      </c>
      <c r="E39" s="2" t="str">
        <f>HYPERLINK("https://ui.adsabs.harvard.edu/abs/2022arXiv220514193G/abstract","2022arXiv220514193G")</f>
        <v>2022arXiv220514193G</v>
      </c>
      <c r="F39" s="1" t="s">
        <v>81</v>
      </c>
      <c r="G39" s="1" t="s">
        <v>72</v>
      </c>
      <c r="H39" s="1">
        <v>0.6262577</v>
      </c>
      <c r="I39" s="1" t="s">
        <v>82</v>
      </c>
    </row>
    <row r="40">
      <c r="A40" s="2" t="str">
        <f>HYPERLINK("https://ui.adsabs.harvard.edu/abs/2023AtmEn.29719589S/abstract","2023AtmEn.29719589S")</f>
        <v>2023AtmEn.29719589S</v>
      </c>
      <c r="E40" s="2" t="str">
        <f>HYPERLINK("https://ui.adsabs.harvard.edu/abs/2022arXiv221011859S/abstract","2022arXiv221011859S")</f>
        <v>2022arXiv221011859S</v>
      </c>
      <c r="F40" s="1" t="s">
        <v>83</v>
      </c>
      <c r="G40" s="1" t="s">
        <v>72</v>
      </c>
      <c r="H40" s="1">
        <v>0.6408713</v>
      </c>
      <c r="I40" s="1" t="s">
        <v>84</v>
      </c>
    </row>
    <row r="41">
      <c r="A41" s="2" t="str">
        <f>HYPERLINK("https://ui.adsabs.harvard.edu/abs/2023PhRvD.107b4019K/abstract","2023PhRvD.107b4019K")</f>
        <v>2023PhRvD.107b4019K</v>
      </c>
      <c r="E41" s="2" t="str">
        <f>HYPERLINK("https://ui.adsabs.harvard.edu/abs/2022arXiv220914959K/abstract","2022arXiv220914959K")</f>
        <v>2022arXiv220914959K</v>
      </c>
      <c r="F41" s="1" t="s">
        <v>85</v>
      </c>
      <c r="G41" s="1" t="s">
        <v>72</v>
      </c>
      <c r="H41" s="1">
        <v>0.6464429</v>
      </c>
      <c r="I41" s="1" t="s">
        <v>86</v>
      </c>
    </row>
    <row r="42">
      <c r="A42" s="2" t="str">
        <f>HYPERLINK("https://ui.adsabs.harvard.edu/abs/2023ChPhL..40b1301W/abstract","2023ChPhL..40b1301W")</f>
        <v>2023ChPhL..40b1301W</v>
      </c>
      <c r="E42" s="2" t="str">
        <f>HYPERLINK("https://ui.adsabs.harvard.edu/abs/2022arXiv221114994W/abstract","2022arXiv221114994W")</f>
        <v>2022arXiv221114994W</v>
      </c>
      <c r="F42" s="1" t="s">
        <v>87</v>
      </c>
      <c r="G42" s="1" t="s">
        <v>72</v>
      </c>
      <c r="H42" s="1">
        <v>0.6464429</v>
      </c>
      <c r="I42" s="1" t="s">
        <v>86</v>
      </c>
    </row>
    <row r="43">
      <c r="A43" s="2" t="str">
        <f>HYPERLINK("https://ui.adsabs.harvard.edu/abs/2022AIHPC..39.1485D/abstract","2022AIHPC..39.1485D")</f>
        <v>2022AIHPC..39.1485D</v>
      </c>
      <c r="C43" s="1" t="s">
        <v>9</v>
      </c>
      <c r="D43" s="2" t="str">
        <f t="shared" ref="D43:E43" si="1">HYPERLINK("https://ui.adsabs.harvard.edu/abs/2019arXiv191110999D/abstract","2019arXiv191110999D")</f>
        <v>2019arXiv191110999D</v>
      </c>
      <c r="E43" s="2" t="str">
        <f t="shared" si="1"/>
        <v>2019arXiv191110999D</v>
      </c>
      <c r="F43" s="1" t="s">
        <v>88</v>
      </c>
      <c r="G43" s="1" t="s">
        <v>72</v>
      </c>
      <c r="H43" s="1">
        <v>0.6551102</v>
      </c>
      <c r="I43" s="1" t="s">
        <v>89</v>
      </c>
    </row>
    <row r="44">
      <c r="A44" s="2" t="str">
        <f>HYPERLINK("https://ui.adsabs.harvard.edu/abs/2022ITSP...70.6272Z/abstract","2022ITSP...70.6272Z")</f>
        <v>2022ITSP...70.6272Z</v>
      </c>
      <c r="C44" s="1" t="s">
        <v>9</v>
      </c>
      <c r="D44" s="2" t="str">
        <f t="shared" ref="D44:E44" si="2">HYPERLINK("https://ui.adsabs.harvard.edu/abs/2020arXiv200909163Z/abstract","2020arXiv200909163Z")</f>
        <v>2020arXiv200909163Z</v>
      </c>
      <c r="E44" s="2" t="str">
        <f t="shared" si="2"/>
        <v>2020arXiv200909163Z</v>
      </c>
      <c r="F44" s="1" t="s">
        <v>90</v>
      </c>
      <c r="G44" s="1" t="s">
        <v>72</v>
      </c>
      <c r="H44" s="1">
        <v>0.6599212</v>
      </c>
      <c r="I44" s="1" t="s">
        <v>91</v>
      </c>
    </row>
    <row r="45">
      <c r="A45" s="2" t="str">
        <f>HYPERLINK("https://ui.adsabs.harvard.edu/abs/2023Nanot..34n5601F/abstract","2023Nanot..34n5601F")</f>
        <v>2023Nanot..34n5601F</v>
      </c>
      <c r="E45" s="2" t="str">
        <f>HYPERLINK("https://ui.adsabs.harvard.edu/abs/2022arXiv220601957F/abstract","2022arXiv220601957F")</f>
        <v>2022arXiv220601957F</v>
      </c>
      <c r="F45" s="1" t="s">
        <v>92</v>
      </c>
      <c r="G45" s="1" t="s">
        <v>72</v>
      </c>
      <c r="H45" s="1">
        <v>0.673244</v>
      </c>
      <c r="I45" s="1" t="s">
        <v>93</v>
      </c>
    </row>
    <row r="46">
      <c r="A46" s="2" t="str">
        <f>HYPERLINK("https://ui.adsabs.harvard.edu/abs/2023PhRvC.107a4317W/abstract","2023PhRvC.107a4317W")</f>
        <v>2023PhRvC.107a4317W</v>
      </c>
      <c r="B46" s="2" t="str">
        <f>HYPERLINK("https://ui.adsabs.harvard.edu/abs/2022arXiv221004601W/abstract","2022arXiv221004601W")</f>
        <v>2022arXiv221004601W</v>
      </c>
      <c r="C46" s="1" t="s">
        <v>70</v>
      </c>
      <c r="E46" s="2" t="str">
        <f>HYPERLINK("https://ui.adsabs.harvard.edu/abs/2022arXiv221004601W/abstract","2022arXiv221004601W")</f>
        <v>2022arXiv221004601W</v>
      </c>
      <c r="F46" s="1" t="s">
        <v>94</v>
      </c>
      <c r="G46" s="1" t="s">
        <v>72</v>
      </c>
      <c r="H46" s="1">
        <v>0.6797741</v>
      </c>
      <c r="I46" s="1" t="s">
        <v>95</v>
      </c>
    </row>
    <row r="47">
      <c r="A47" s="2" t="str">
        <f>HYPERLINK("https://ui.adsabs.harvard.edu/abs/2023PhRvF...8a2102G/abstract","2023PhRvF...8a2102G")</f>
        <v>2023PhRvF...8a2102G</v>
      </c>
      <c r="E47" s="2" t="str">
        <f>HYPERLINK("https://ui.adsabs.harvard.edu/abs/2022arXiv220712107G/abstract","2022arXiv220712107G")</f>
        <v>2022arXiv220712107G</v>
      </c>
      <c r="F47" s="1" t="s">
        <v>96</v>
      </c>
      <c r="G47" s="1" t="s">
        <v>72</v>
      </c>
      <c r="H47" s="1">
        <v>0.6797741</v>
      </c>
      <c r="I47" s="1" t="s">
        <v>95</v>
      </c>
    </row>
    <row r="48">
      <c r="A48" s="2" t="str">
        <f>HYPERLINK("https://ui.adsabs.harvard.edu/abs/2023JPhG...50b5104R/abstract","2023JPhG...50b5104R")</f>
        <v>2023JPhG...50b5104R</v>
      </c>
      <c r="E48" s="2" t="str">
        <f>HYPERLINK("https://ui.adsabs.harvard.edu/abs/2022arXiv220810871R/abstract","2022arXiv220810871R")</f>
        <v>2022arXiv220810871R</v>
      </c>
      <c r="F48" s="1" t="s">
        <v>97</v>
      </c>
      <c r="G48" s="1" t="s">
        <v>72</v>
      </c>
      <c r="H48" s="1">
        <v>0.6840239</v>
      </c>
      <c r="I48" s="1" t="s">
        <v>98</v>
      </c>
    </row>
    <row r="49">
      <c r="A49" s="2" t="str">
        <f>HYPERLINK("https://ui.adsabs.harvard.edu/abs/2023Natur.613...53G/abstract","2023Natur.613...53G")</f>
        <v>2023Natur.613...53G</v>
      </c>
      <c r="E49" s="2" t="str">
        <f>HYPERLINK("https://ui.adsabs.harvard.edu/abs/2022arXiv220203831G/abstract","2022arXiv220203831G")</f>
        <v>2022arXiv220203831G</v>
      </c>
      <c r="F49" s="1" t="s">
        <v>99</v>
      </c>
      <c r="G49" s="1" t="s">
        <v>72</v>
      </c>
      <c r="H49" s="1">
        <v>0.6862063</v>
      </c>
      <c r="I49" s="1" t="s">
        <v>75</v>
      </c>
    </row>
    <row r="50">
      <c r="A50" s="2" t="str">
        <f>HYPERLINK("https://ui.adsabs.harvard.edu/abs/2023JCoPh.47611923S/abstract","2023JCoPh.47611923S")</f>
        <v>2023JCoPh.47611923S</v>
      </c>
      <c r="E50" s="2" t="str">
        <f>HYPERLINK("https://ui.adsabs.harvard.edu/abs/2019arXiv191012636S/abstract","2019arXiv191012636S")</f>
        <v>2019arXiv191012636S</v>
      </c>
      <c r="F50" s="1" t="s">
        <v>100</v>
      </c>
      <c r="G50" s="1" t="s">
        <v>72</v>
      </c>
      <c r="H50" s="1">
        <v>0.6918724</v>
      </c>
      <c r="I50" s="1" t="s">
        <v>101</v>
      </c>
    </row>
    <row r="51">
      <c r="A51" s="2" t="str">
        <f>HYPERLINK("https://ui.adsabs.harvard.edu/abs/2023NatSR..13..557T/abstract","2023NatSR..13..557T")</f>
        <v>2023NatSR..13..557T</v>
      </c>
      <c r="E51" s="2" t="str">
        <f>HYPERLINK("https://ui.adsabs.harvard.edu/abs/2022arXiv220612656D/abstract","2022arXiv220612656D")</f>
        <v>2022arXiv220612656D</v>
      </c>
      <c r="F51" s="1" t="s">
        <v>102</v>
      </c>
      <c r="G51" s="1" t="s">
        <v>72</v>
      </c>
      <c r="H51" s="1">
        <v>0.6981199</v>
      </c>
      <c r="I51" s="1" t="s">
        <v>75</v>
      </c>
    </row>
    <row r="52">
      <c r="A52" s="2" t="str">
        <f>HYPERLINK("https://ui.adsabs.harvard.edu/abs/2023PhyA..61228480S/abstract","2023PhyA..61228480S")</f>
        <v>2023PhyA..61228480S</v>
      </c>
      <c r="E52" s="2" t="str">
        <f>HYPERLINK("https://ui.adsabs.harvard.edu/abs/2021arXiv210101472S/abstract","2021arXiv210101472S")</f>
        <v>2021arXiv210101472S</v>
      </c>
      <c r="F52" s="1" t="s">
        <v>103</v>
      </c>
      <c r="G52" s="1" t="s">
        <v>72</v>
      </c>
      <c r="H52" s="1">
        <v>0.7068529</v>
      </c>
      <c r="I52" s="1" t="s">
        <v>104</v>
      </c>
    </row>
    <row r="53">
      <c r="A53" s="2" t="str">
        <f>HYPERLINK("https://ui.adsabs.harvard.edu/abs/2023AnPhy.44969217K/abstract","2023AnPhy.44969217K")</f>
        <v>2023AnPhy.44969217K</v>
      </c>
      <c r="E53" s="2" t="str">
        <f>HYPERLINK("https://ui.adsabs.harvard.edu/abs/2022arXiv220906976K/abstract","2022arXiv220906976K")</f>
        <v>2022arXiv220906976K</v>
      </c>
      <c r="F53" s="1" t="s">
        <v>105</v>
      </c>
      <c r="G53" s="1" t="s">
        <v>72</v>
      </c>
      <c r="H53" s="1">
        <v>0.7109672</v>
      </c>
      <c r="I53" s="1" t="s">
        <v>106</v>
      </c>
    </row>
    <row r="54">
      <c r="A54" s="2" t="str">
        <f>HYPERLINK("https://ui.adsabs.harvard.edu/abs/2023PhRvE.107a4404L/abstract","2023PhRvE.107a4404L")</f>
        <v>2023PhRvE.107a4404L</v>
      </c>
      <c r="E54" s="2" t="str">
        <f>HYPERLINK("https://ui.adsabs.harvard.edu/abs/2022arXiv220710405L/abstract","2022arXiv220710405L")</f>
        <v>2022arXiv220710405L</v>
      </c>
      <c r="F54" s="1" t="s">
        <v>107</v>
      </c>
      <c r="G54" s="1" t="s">
        <v>72</v>
      </c>
      <c r="H54" s="1">
        <v>0.7169062</v>
      </c>
      <c r="I54" s="1" t="s">
        <v>108</v>
      </c>
    </row>
    <row r="55">
      <c r="A55" s="2" t="str">
        <f>HYPERLINK("https://ui.adsabs.harvard.edu/abs/2023CSF...16813128C/abstract","2023CSF...16813128C")</f>
        <v>2023CSF...16813128C</v>
      </c>
      <c r="B55" s="2" t="str">
        <f>HYPERLINK("https://ui.adsabs.harvard.edu/abs/2022arXiv220204497C/abstract","2022arXiv220204497C")</f>
        <v>2022arXiv220204497C</v>
      </c>
      <c r="C55" s="1" t="s">
        <v>70</v>
      </c>
      <c r="E55" s="2" t="str">
        <f>HYPERLINK("https://ui.adsabs.harvard.edu/abs/2022arXiv220204497C/abstract","2022arXiv220204497C")</f>
        <v>2022arXiv220204497C</v>
      </c>
      <c r="F55" s="1" t="s">
        <v>109</v>
      </c>
      <c r="G55" s="1" t="s">
        <v>72</v>
      </c>
      <c r="H55" s="1">
        <v>0.7289442</v>
      </c>
      <c r="I55" s="1" t="s">
        <v>110</v>
      </c>
    </row>
    <row r="56">
      <c r="A56" s="2" t="str">
        <f>HYPERLINK("https://ui.adsabs.harvard.edu/abs/2023CNSNS.11907092K/abstract","2023CNSNS.11907092K")</f>
        <v>2023CNSNS.11907092K</v>
      </c>
      <c r="E56" s="2" t="str">
        <f>HYPERLINK("https://ui.adsabs.harvard.edu/abs/2021arXiv210509424K/abstract","2021arXiv210509424K")</f>
        <v>2021arXiv210509424K</v>
      </c>
      <c r="F56" s="1" t="s">
        <v>111</v>
      </c>
      <c r="G56" s="1" t="s">
        <v>72</v>
      </c>
      <c r="H56" s="1">
        <v>0.7296438</v>
      </c>
      <c r="I56" s="1" t="s">
        <v>112</v>
      </c>
    </row>
    <row r="57">
      <c r="A57" s="2" t="str">
        <f>HYPERLINK("https://ui.adsabs.harvard.edu/abs/2023PhRvB.107d5120G/abstract","2023PhRvB.107d5120G")</f>
        <v>2023PhRvB.107d5120G</v>
      </c>
      <c r="E57" s="2" t="str">
        <f>HYPERLINK("https://ui.adsabs.harvard.edu/abs/2022arXiv220300079G/abstract","2022arXiv220300079G")</f>
        <v>2022arXiv220300079G</v>
      </c>
      <c r="F57" s="1" t="s">
        <v>113</v>
      </c>
      <c r="G57" s="1" t="s">
        <v>72</v>
      </c>
      <c r="H57" s="1">
        <v>0.7675963</v>
      </c>
      <c r="I57" s="1" t="s">
        <v>114</v>
      </c>
    </row>
    <row r="58">
      <c r="A58" s="2" t="str">
        <f>HYPERLINK("https://ui.adsabs.harvard.edu/abs/2023PhRvA.107a3307C/abstract","2023PhRvA.107a3307C")</f>
        <v>2023PhRvA.107a3307C</v>
      </c>
      <c r="E58" s="2" t="str">
        <f>HYPERLINK("https://ui.adsabs.harvard.edu/abs/2022arXiv220809620C/abstract","2022arXiv220809620C")</f>
        <v>2022arXiv220809620C</v>
      </c>
      <c r="F58" s="1" t="s">
        <v>115</v>
      </c>
      <c r="G58" s="1" t="s">
        <v>72</v>
      </c>
      <c r="H58" s="1">
        <v>0.7693236</v>
      </c>
      <c r="I58" s="1" t="s">
        <v>116</v>
      </c>
    </row>
    <row r="59">
      <c r="A59" s="2" t="str">
        <f>HYPERLINK("https://ui.adsabs.harvard.edu/abs/2023PhRvP..19a4061B/abstract","2023PhRvP..19a4061B")</f>
        <v>2023PhRvP..19a4061B</v>
      </c>
      <c r="E59" s="2" t="str">
        <f>HYPERLINK("https://ui.adsabs.harvard.edu/abs/2021arXiv210511226B/abstract","2021arXiv210511226B")</f>
        <v>2021arXiv210511226B</v>
      </c>
      <c r="F59" s="1" t="s">
        <v>117</v>
      </c>
      <c r="G59" s="1" t="s">
        <v>72</v>
      </c>
      <c r="H59" s="1">
        <v>0.7702764</v>
      </c>
      <c r="I59" s="1" t="s">
        <v>118</v>
      </c>
    </row>
    <row r="60">
      <c r="A60" s="2" t="str">
        <f>HYPERLINK("https://ui.adsabs.harvard.edu/abs/2023SJSC...45B..57W/abstract","2023SJSC...45B..57W")</f>
        <v>2023SJSC...45B..57W</v>
      </c>
      <c r="C60" s="1" t="s">
        <v>12</v>
      </c>
      <c r="E60" s="2" t="str">
        <f>HYPERLINK("https://ui.adsabs.harvard.edu/abs/2021arXiv210206627W/abstract","2021arXiv210206627W")</f>
        <v>2021arXiv210206627W</v>
      </c>
      <c r="F60" s="1" t="s">
        <v>119</v>
      </c>
      <c r="G60" s="1" t="s">
        <v>72</v>
      </c>
      <c r="H60" s="1">
        <v>0.7777189</v>
      </c>
      <c r="I60" s="1" t="s">
        <v>120</v>
      </c>
    </row>
    <row r="61">
      <c r="A61" s="2" t="str">
        <f>HYPERLINK("https://ui.adsabs.harvard.edu/abs/2023PhRvD.107a3006L/abstract","2023PhRvD.107a3006L")</f>
        <v>2023PhRvD.107a3006L</v>
      </c>
      <c r="E61" s="2" t="str">
        <f>HYPERLINK("https://ui.adsabs.harvard.edu/abs/2022arXiv221112960L/abstract","2022arXiv221112960L")</f>
        <v>2022arXiv221112960L</v>
      </c>
      <c r="F61" s="1" t="s">
        <v>121</v>
      </c>
      <c r="G61" s="1" t="s">
        <v>72</v>
      </c>
      <c r="H61" s="1">
        <v>0.7831257</v>
      </c>
      <c r="I61" s="1" t="s">
        <v>122</v>
      </c>
    </row>
    <row r="62">
      <c r="A62" s="2" t="str">
        <f>HYPERLINK("https://ui.adsabs.harvard.edu/abs/2023JCoPh.47711921Z/abstract","2023JCoPh.47711921Z")</f>
        <v>2023JCoPh.47711921Z</v>
      </c>
      <c r="E62" s="2" t="str">
        <f>HYPERLINK("https://ui.adsabs.harvard.edu/abs/2021arXiv210706555Z/abstract","2021arXiv210706555Z")</f>
        <v>2021arXiv210706555Z</v>
      </c>
      <c r="F62" s="1" t="s">
        <v>123</v>
      </c>
      <c r="G62" s="1" t="s">
        <v>72</v>
      </c>
      <c r="H62" s="1">
        <v>0.7942539</v>
      </c>
      <c r="I62" s="1" t="s">
        <v>124</v>
      </c>
    </row>
    <row r="63">
      <c r="A63" s="2" t="str">
        <f>HYPERLINK("https://ui.adsabs.harvard.edu/abs/2023JPhA...56a5003A/abstract","2023JPhA...56a5003A")</f>
        <v>2023JPhA...56a5003A</v>
      </c>
      <c r="E63" s="2" t="str">
        <f>HYPERLINK("https://ui.adsabs.harvard.edu/abs/2022arXiv220704468A/abstract","2022arXiv220704468A")</f>
        <v>2022arXiv220704468A</v>
      </c>
      <c r="F63" s="1" t="s">
        <v>125</v>
      </c>
      <c r="G63" s="1" t="s">
        <v>72</v>
      </c>
      <c r="H63" s="1">
        <v>0.8071075</v>
      </c>
      <c r="I63" s="1" t="s">
        <v>126</v>
      </c>
    </row>
    <row r="64">
      <c r="A64" s="2" t="str">
        <f>HYPERLINK("https://ui.adsabs.harvard.edu/abs/2023PhyS...98b5208P/abstract","2023PhyS...98b5208P")</f>
        <v>2023PhyS...98b5208P</v>
      </c>
      <c r="E64" s="2" t="str">
        <f>HYPERLINK("https://ui.adsabs.harvard.edu/abs/2021arXiv210608614Y/abstract","2021arXiv210608614Y")</f>
        <v>2021arXiv210608614Y</v>
      </c>
      <c r="F64" s="1" t="s">
        <v>127</v>
      </c>
      <c r="G64" s="1" t="s">
        <v>72</v>
      </c>
      <c r="H64" s="1">
        <v>0.8092175</v>
      </c>
      <c r="I64" s="1" t="s">
        <v>128</v>
      </c>
    </row>
    <row r="65">
      <c r="A65" s="2" t="str">
        <f>HYPERLINK("https://ui.adsabs.harvard.edu/abs/2023PhRvD.107a2002A/abstract","2023PhRvD.107a2002A")</f>
        <v>2023PhRvD.107a2002A</v>
      </c>
      <c r="E65" s="2" t="str">
        <f>HYPERLINK("https://ui.adsabs.harvard.edu/abs/2022arXiv220809221B/abstract","2022arXiv220809221B")</f>
        <v>2022arXiv220809221B</v>
      </c>
      <c r="F65" s="1" t="s">
        <v>129</v>
      </c>
      <c r="G65" s="1" t="s">
        <v>72</v>
      </c>
      <c r="H65" s="1">
        <v>0.8143964</v>
      </c>
      <c r="I65" s="1" t="s">
        <v>130</v>
      </c>
    </row>
    <row r="66">
      <c r="A66" s="2" t="str">
        <f>HYPERLINK("https://ui.adsabs.harvard.edu/abs/2023PhRvB.107b4305M/abstract","2023PhRvB.107b4305M")</f>
        <v>2023PhRvB.107b4305M</v>
      </c>
      <c r="E66" s="2" t="str">
        <f>HYPERLINK("https://ui.adsabs.harvard.edu/abs/2022arXiv221102573M/abstract","2022arXiv221102573M")</f>
        <v>2022arXiv221102573M</v>
      </c>
      <c r="F66" s="1" t="s">
        <v>131</v>
      </c>
      <c r="G66" s="1" t="s">
        <v>72</v>
      </c>
      <c r="H66" s="1">
        <v>0.8162932</v>
      </c>
      <c r="I66" s="1" t="s">
        <v>132</v>
      </c>
    </row>
    <row r="67">
      <c r="A67" s="2" t="str">
        <f>HYPERLINK("https://ui.adsabs.harvard.edu/abs/2022MPLA...3750206D/abstract","2022MPLA...3750206D")</f>
        <v>2022MPLA...3750206D</v>
      </c>
      <c r="B67" s="2" t="str">
        <f>HYPERLINK("https://ui.adsabs.harvard.edu/abs/2022arXiv220802214D/abstract","2022arXiv220802214D")</f>
        <v>2022arXiv220802214D</v>
      </c>
      <c r="C67" s="1" t="s">
        <v>70</v>
      </c>
      <c r="E67" s="2" t="str">
        <f>HYPERLINK("https://ui.adsabs.harvard.edu/abs/2022arXiv220802214D/abstract","2022arXiv220802214D")</f>
        <v>2022arXiv220802214D</v>
      </c>
      <c r="F67" s="1" t="s">
        <v>133</v>
      </c>
      <c r="G67" s="1" t="s">
        <v>72</v>
      </c>
      <c r="H67" s="1">
        <v>0.8162932</v>
      </c>
      <c r="I67" s="1" t="s">
        <v>132</v>
      </c>
    </row>
    <row r="68">
      <c r="A68" s="2" t="str">
        <f>HYPERLINK("https://ui.adsabs.harvard.edu/abs/2023PhRvM...7a3604B/abstract","2023PhRvM...7a3604B")</f>
        <v>2023PhRvM...7a3604B</v>
      </c>
      <c r="B68" s="2" t="str">
        <f>HYPERLINK("https://ui.adsabs.harvard.edu/abs/2022arXiv220208224B/abstract","2022arXiv220208224B")</f>
        <v>2022arXiv220208224B</v>
      </c>
      <c r="C68" s="1" t="s">
        <v>70</v>
      </c>
      <c r="E68" s="2" t="str">
        <f>HYPERLINK("https://ui.adsabs.harvard.edu/abs/2022arXiv220208224B/abstract","2022arXiv220208224B")</f>
        <v>2022arXiv220208224B</v>
      </c>
      <c r="F68" s="1" t="s">
        <v>134</v>
      </c>
      <c r="G68" s="1" t="s">
        <v>72</v>
      </c>
      <c r="H68" s="1">
        <v>0.8199815</v>
      </c>
      <c r="I68" s="1" t="s">
        <v>135</v>
      </c>
    </row>
    <row r="69">
      <c r="A69" s="2" t="str">
        <f>HYPERLINK("https://ui.adsabs.harvard.edu/abs/2023JHEP...01..055B/abstract","2023JHEP...01..055B")</f>
        <v>2023JHEP...01..055B</v>
      </c>
      <c r="B69" s="2" t="str">
        <f>HYPERLINK("https://ui.adsabs.harvard.edu/abs/2022arXiv220908583B/abstract","2022arXiv220908583B")</f>
        <v>2022arXiv220908583B</v>
      </c>
      <c r="C69" s="1" t="s">
        <v>70</v>
      </c>
      <c r="E69" s="2" t="str">
        <f>HYPERLINK("https://ui.adsabs.harvard.edu/abs/2022arXiv220908583B/abstract","2022arXiv220908583B")</f>
        <v>2022arXiv220908583B</v>
      </c>
      <c r="F69" s="1" t="s">
        <v>136</v>
      </c>
      <c r="G69" s="1" t="s">
        <v>72</v>
      </c>
      <c r="H69" s="1">
        <v>0.821487</v>
      </c>
      <c r="I69" s="1" t="s">
        <v>137</v>
      </c>
    </row>
    <row r="70">
      <c r="A70" s="2" t="str">
        <f>HYPERLINK("https://ui.adsabs.harvard.edu/abs/2023PhRvE.107a4212C/abstract","2023PhRvE.107a4212C")</f>
        <v>2023PhRvE.107a4212C</v>
      </c>
      <c r="B70" s="2" t="str">
        <f>HYPERLINK("https://ui.adsabs.harvard.edu/abs/2022arXiv221000432C/abstract","2022arXiv221000432C")</f>
        <v>2022arXiv221000432C</v>
      </c>
      <c r="C70" s="1" t="s">
        <v>70</v>
      </c>
      <c r="E70" s="2" t="str">
        <f>HYPERLINK("https://ui.adsabs.harvard.edu/abs/2022arXiv221000432C/abstract","2022arXiv221000432C")</f>
        <v>2022arXiv221000432C</v>
      </c>
      <c r="F70" s="1" t="s">
        <v>138</v>
      </c>
      <c r="G70" s="1" t="s">
        <v>72</v>
      </c>
      <c r="H70" s="1">
        <v>0.8295666</v>
      </c>
      <c r="I70" s="1" t="s">
        <v>139</v>
      </c>
    </row>
    <row r="71">
      <c r="A71" s="2" t="str">
        <f>HYPERLINK("https://ui.adsabs.harvard.edu/abs/2023OExpr..31.4164E/abstract","2023OExpr..31.4164E")</f>
        <v>2023OExpr..31.4164E</v>
      </c>
      <c r="B71" s="2" t="str">
        <f>HYPERLINK("https://ui.adsabs.harvard.edu/abs/2022arXiv221209089E/abstract","2022arXiv221209089E")</f>
        <v>2022arXiv221209089E</v>
      </c>
      <c r="C71" s="1" t="s">
        <v>70</v>
      </c>
      <c r="E71" s="2" t="str">
        <f>HYPERLINK("https://ui.adsabs.harvard.edu/abs/2022arXiv221209089E/abstract","2022arXiv221209089E")</f>
        <v>2022arXiv221209089E</v>
      </c>
      <c r="F71" s="1" t="s">
        <v>140</v>
      </c>
      <c r="G71" s="1" t="s">
        <v>72</v>
      </c>
      <c r="H71" s="1">
        <v>0.8340974</v>
      </c>
      <c r="I71" s="1" t="s">
        <v>141</v>
      </c>
    </row>
    <row r="72">
      <c r="A72" s="2" t="str">
        <f>HYPERLINK("https://ui.adsabs.harvard.edu/abs/2023CompM.tmp....5D/abstract","2023CompM.tmp....5D")</f>
        <v>2023CompM.tmp....5D</v>
      </c>
      <c r="B72" s="2" t="str">
        <f>HYPERLINK("https://ui.adsabs.harvard.edu/abs/2022arXiv220706764D/abstract","2022arXiv220706764D")</f>
        <v>2022arXiv220706764D</v>
      </c>
      <c r="C72" s="1" t="s">
        <v>70</v>
      </c>
      <c r="E72" s="2" t="str">
        <f>HYPERLINK("https://ui.adsabs.harvard.edu/abs/2022arXiv220706764D/abstract","2022arXiv220706764D")</f>
        <v>2022arXiv220706764D</v>
      </c>
      <c r="F72" s="1" t="s">
        <v>142</v>
      </c>
      <c r="G72" s="1" t="s">
        <v>72</v>
      </c>
      <c r="H72" s="1">
        <v>0.838687</v>
      </c>
      <c r="I72" s="1" t="s">
        <v>143</v>
      </c>
    </row>
    <row r="73">
      <c r="A73" s="2" t="str">
        <f>HYPERLINK("https://ui.adsabs.harvard.edu/abs/2023PhRvD.107b6015B/abstract","2023PhRvD.107b6015B")</f>
        <v>2023PhRvD.107b6015B</v>
      </c>
      <c r="E73" s="2" t="str">
        <f>HYPERLINK("https://ui.adsabs.harvard.edu/abs/2021arXiv211114471B/abstract","2021arXiv211114471B")</f>
        <v>2021arXiv211114471B</v>
      </c>
      <c r="F73" s="1" t="s">
        <v>144</v>
      </c>
      <c r="G73" s="1" t="s">
        <v>72</v>
      </c>
      <c r="H73" s="1">
        <v>0.8515924</v>
      </c>
      <c r="I73" s="1" t="s">
        <v>145</v>
      </c>
    </row>
    <row r="74">
      <c r="A74" s="2" t="str">
        <f>HYPERLINK("https://ui.adsabs.harvard.edu/abs/2023RemS...15..521W/abstract","2023RemS...15..521W")</f>
        <v>2023RemS...15..521W</v>
      </c>
      <c r="B74" s="2" t="str">
        <f>HYPERLINK("https://ui.adsabs.harvard.edu/abs/2022arXiv221109806W/abstract","2022arXiv221109806W")</f>
        <v>2022arXiv221109806W</v>
      </c>
      <c r="C74" s="1" t="s">
        <v>70</v>
      </c>
      <c r="E74" s="2" t="str">
        <f>HYPERLINK("https://ui.adsabs.harvard.edu/abs/2022arXiv221109806W/abstract","2022arXiv221109806W")</f>
        <v>2022arXiv221109806W</v>
      </c>
      <c r="F74" s="1" t="s">
        <v>146</v>
      </c>
      <c r="G74" s="1" t="s">
        <v>72</v>
      </c>
      <c r="H74" s="1">
        <v>0.8563579</v>
      </c>
      <c r="I74" s="1" t="s">
        <v>147</v>
      </c>
    </row>
    <row r="75">
      <c r="A75" s="2" t="str">
        <f>HYPERLINK("https://ui.adsabs.harvard.edu/abs/2023PhRvL.130c3601Z/abstract","2023PhRvL.130c3601Z")</f>
        <v>2023PhRvL.130c3601Z</v>
      </c>
      <c r="B75" s="2" t="str">
        <f>HYPERLINK("https://ui.adsabs.harvard.edu/abs/2022arXiv220213228Z/abstract","2022arXiv220213228Z")</f>
        <v>2022arXiv220213228Z</v>
      </c>
      <c r="C75" s="1" t="s">
        <v>70</v>
      </c>
      <c r="E75" s="2" t="str">
        <f>HYPERLINK("https://ui.adsabs.harvard.edu/abs/2022arXiv220213228Z/abstract","2022arXiv220213228Z")</f>
        <v>2022arXiv220213228Z</v>
      </c>
      <c r="F75" s="1" t="s">
        <v>148</v>
      </c>
      <c r="G75" s="1" t="s">
        <v>72</v>
      </c>
      <c r="H75" s="1">
        <v>0.8574046</v>
      </c>
      <c r="I75" s="1" t="s">
        <v>149</v>
      </c>
    </row>
    <row r="76">
      <c r="A76" s="2" t="str">
        <f>HYPERLINK("https://ui.adsabs.harvard.edu/abs/2023PhRvC.107a5502S/abstract","2023PhRvC.107a5502S")</f>
        <v>2023PhRvC.107a5502S</v>
      </c>
      <c r="E76" s="2" t="str">
        <f>HYPERLINK("https://ui.adsabs.harvard.edu/abs/2021arXiv210908895S/abstract","2021arXiv210908895S")</f>
        <v>2021arXiv210908895S</v>
      </c>
      <c r="F76" s="1" t="s">
        <v>150</v>
      </c>
      <c r="G76" s="1" t="s">
        <v>72</v>
      </c>
      <c r="H76" s="1">
        <v>0.8598461</v>
      </c>
      <c r="I76" s="1" t="s">
        <v>151</v>
      </c>
    </row>
    <row r="77">
      <c r="A77" s="2" t="str">
        <f>HYPERLINK("https://ui.adsabs.harvard.edu/abs/2023NatPh..19...87H/abstract","2023NatPh..19...87H")</f>
        <v>2023NatPh..19...87H</v>
      </c>
      <c r="E77" s="2" t="str">
        <f>HYPERLINK("https://ui.adsabs.harvard.edu/abs/2021arXiv211203488H/abstract","2021arXiv211203488H")</f>
        <v>2021arXiv211203488H</v>
      </c>
      <c r="F77" s="1" t="s">
        <v>152</v>
      </c>
      <c r="G77" s="1" t="s">
        <v>72</v>
      </c>
      <c r="H77" s="1">
        <v>0.8638268</v>
      </c>
      <c r="I77" s="1" t="s">
        <v>153</v>
      </c>
    </row>
    <row r="78">
      <c r="A78" s="2" t="str">
        <f>HYPERLINK("https://ui.adsabs.harvard.edu/abs/2023PhRvE.107a4126M/abstract","2023PhRvE.107a4126M")</f>
        <v>2023PhRvE.107a4126M</v>
      </c>
      <c r="E78" s="2" t="str">
        <f>HYPERLINK("https://ui.adsabs.harvard.edu/abs/2020arXiv201205437M/abstract","2020arXiv201205437M")</f>
        <v>2020arXiv201205437M</v>
      </c>
      <c r="F78" s="1" t="s">
        <v>154</v>
      </c>
      <c r="G78" s="1" t="s">
        <v>72</v>
      </c>
      <c r="H78" s="1">
        <v>0.8647472</v>
      </c>
      <c r="I78" s="1" t="s">
        <v>155</v>
      </c>
    </row>
    <row r="79">
      <c r="A79" s="2" t="str">
        <f>HYPERLINK("https://ui.adsabs.harvard.edu/abs/2023NaPho..17..112C/abstract","2023NaPho..17..112C")</f>
        <v>2023NaPho..17..112C</v>
      </c>
      <c r="E79" s="2" t="str">
        <f>HYPERLINK("https://ui.adsabs.harvard.edu/abs/2022arXiv220613753C/abstract","2022arXiv220613753C")</f>
        <v>2022arXiv220613753C</v>
      </c>
      <c r="F79" s="1" t="s">
        <v>156</v>
      </c>
      <c r="G79" s="1" t="s">
        <v>72</v>
      </c>
      <c r="H79" s="1">
        <v>0.8670726</v>
      </c>
      <c r="I79" s="1" t="s">
        <v>157</v>
      </c>
    </row>
    <row r="80">
      <c r="A80" s="2" t="str">
        <f>HYPERLINK("https://ui.adsabs.harvard.edu/abs/2023PhRvB.107a4307L/abstract","2023PhRvB.107a4307L")</f>
        <v>2023PhRvB.107a4307L</v>
      </c>
      <c r="E80" s="2" t="str">
        <f>HYPERLINK("https://ui.adsabs.harvard.edu/abs/2022arXiv220316555L/abstract","2022arXiv220316555L")</f>
        <v>2022arXiv220316555L</v>
      </c>
      <c r="F80" s="1" t="s">
        <v>158</v>
      </c>
      <c r="G80" s="1" t="s">
        <v>72</v>
      </c>
      <c r="H80" s="1">
        <v>0.8670726</v>
      </c>
      <c r="I80" s="1" t="s">
        <v>157</v>
      </c>
    </row>
    <row r="81">
      <c r="A81" s="2" t="str">
        <f>HYPERLINK("https://ui.adsabs.harvard.edu/abs/2023PhRvD.107b2007I/abstract","2023PhRvD.107b2007I")</f>
        <v>2023PhRvD.107b2007I</v>
      </c>
      <c r="B81" s="2" t="str">
        <f>HYPERLINK("https://ui.adsabs.harvard.edu/abs/2022arXiv221112683I/abstract","2022arXiv221112683I")</f>
        <v>2022arXiv221112683I</v>
      </c>
      <c r="C81" s="1" t="s">
        <v>70</v>
      </c>
      <c r="E81" s="2" t="str">
        <f>HYPERLINK("https://ui.adsabs.harvard.edu/abs/2022arXiv221112683I/abstract","2022arXiv221112683I")</f>
        <v>2022arXiv221112683I</v>
      </c>
      <c r="F81" s="1" t="s">
        <v>159</v>
      </c>
      <c r="G81" s="1" t="s">
        <v>72</v>
      </c>
      <c r="H81" s="1">
        <v>0.8670726</v>
      </c>
      <c r="I81" s="1" t="s">
        <v>157</v>
      </c>
    </row>
    <row r="82">
      <c r="A82" s="2" t="str">
        <f>HYPERLINK("https://ui.adsabs.harvard.edu/abs/2023ChJPh..81..362D/abstract","2023ChJPh..81..362D")</f>
        <v>2023ChJPh..81..362D</v>
      </c>
      <c r="C82" s="1" t="s">
        <v>12</v>
      </c>
      <c r="E82" s="2" t="str">
        <f>HYPERLINK("https://ui.adsabs.harvard.edu/abs/2020arXiv201214085D/abstract","2020arXiv201214085D")</f>
        <v>2020arXiv201214085D</v>
      </c>
      <c r="F82" s="1" t="s">
        <v>160</v>
      </c>
      <c r="G82" s="1" t="s">
        <v>72</v>
      </c>
      <c r="H82" s="1">
        <v>0.8699051</v>
      </c>
      <c r="I82" s="1" t="s">
        <v>161</v>
      </c>
    </row>
    <row r="83">
      <c r="A83" s="2" t="str">
        <f>HYPERLINK("https://ui.adsabs.harvard.edu/abs/2022MiMic..28.1632B/abstract","2022MiMic..28.1632B")</f>
        <v>2022MiMic..28.1632B</v>
      </c>
      <c r="E83" s="2" t="str">
        <f>HYPERLINK("https://ui.adsabs.harvard.edu/abs/2020arXiv201107652B/abstract","2020arXiv201107652B")</f>
        <v>2020arXiv201107652B</v>
      </c>
      <c r="F83" s="1" t="s">
        <v>162</v>
      </c>
      <c r="G83" s="1" t="s">
        <v>72</v>
      </c>
      <c r="H83" s="1">
        <v>0.8700684</v>
      </c>
      <c r="I83" s="1" t="s">
        <v>163</v>
      </c>
    </row>
    <row r="84">
      <c r="A84" s="2" t="str">
        <f>HYPERLINK("https://ui.adsabs.harvard.edu/abs/2023EPJP..138...29Y/abstract","2023EPJP..138...29Y")</f>
        <v>2023EPJP..138...29Y</v>
      </c>
      <c r="E84" s="2" t="str">
        <f>HYPERLINK("https://ui.adsabs.harvard.edu/abs/2020arXiv201213969A/abstract","2020arXiv201213969A")</f>
        <v>2020arXiv201213969A</v>
      </c>
      <c r="F84" s="1" t="s">
        <v>164</v>
      </c>
      <c r="G84" s="1" t="s">
        <v>72</v>
      </c>
      <c r="H84" s="1">
        <v>0.8797362</v>
      </c>
      <c r="I84" s="1" t="s">
        <v>165</v>
      </c>
    </row>
    <row r="85">
      <c r="A85" s="2" t="str">
        <f>HYPERLINK("https://ui.adsabs.harvard.edu/abs/2023AnP...53500261M/abstract","2023AnP...53500261M")</f>
        <v>2023AnP...53500261M</v>
      </c>
      <c r="C85" s="1" t="s">
        <v>12</v>
      </c>
      <c r="E85" s="2" t="str">
        <f>HYPERLINK("https://ui.adsabs.harvard.edu/abs/2021arXiv210912145M/abstract","2021arXiv210912145M")</f>
        <v>2021arXiv210912145M</v>
      </c>
      <c r="F85" s="1" t="s">
        <v>166</v>
      </c>
      <c r="G85" s="1" t="s">
        <v>72</v>
      </c>
      <c r="H85" s="1">
        <v>0.8815873</v>
      </c>
      <c r="I85" s="1" t="s">
        <v>167</v>
      </c>
    </row>
    <row r="86">
      <c r="A86" s="2" t="str">
        <f>HYPERLINK("https://ui.adsabs.harvard.edu/abs/2023NatSR..13..176S/abstract","2023NatSR..13..176S")</f>
        <v>2023NatSR..13..176S</v>
      </c>
      <c r="E86" s="2" t="str">
        <f>HYPERLINK("https://ui.adsabs.harvard.edu/abs/2022arXiv221005644S/abstract","2022arXiv221005644S")</f>
        <v>2022arXiv221005644S</v>
      </c>
      <c r="F86" s="1" t="s">
        <v>168</v>
      </c>
      <c r="G86" s="1" t="s">
        <v>72</v>
      </c>
      <c r="H86" s="1">
        <v>0.8831568</v>
      </c>
      <c r="I86" s="1" t="s">
        <v>75</v>
      </c>
    </row>
    <row r="87">
      <c r="A87" s="2" t="str">
        <f>HYPERLINK("https://ui.adsabs.harvard.edu/abs/2023PhRvB.107b0408R/abstract","2023PhRvB.107b0408R")</f>
        <v>2023PhRvB.107b0408R</v>
      </c>
      <c r="B87" s="2" t="str">
        <f>HYPERLINK("https://ui.adsabs.harvard.edu/abs/2022arXiv220610647R/abstract","2022arXiv220610647R")</f>
        <v>2022arXiv220610647R</v>
      </c>
      <c r="C87" s="1" t="s">
        <v>70</v>
      </c>
      <c r="E87" s="2" t="str">
        <f>HYPERLINK("https://ui.adsabs.harvard.edu/abs/2022arXiv220610647R/abstract","2022arXiv220610647R")</f>
        <v>2022arXiv220610647R</v>
      </c>
      <c r="F87" s="1" t="s">
        <v>169</v>
      </c>
      <c r="G87" s="1" t="s">
        <v>72</v>
      </c>
      <c r="H87" s="1">
        <v>0.8831568</v>
      </c>
      <c r="I87" s="1" t="s">
        <v>170</v>
      </c>
    </row>
    <row r="88">
      <c r="A88" s="2" t="str">
        <f>HYPERLINK("https://ui.adsabs.harvard.edu/abs/2023PhRvL.130c0602S/abstract","2023PhRvL.130c0602S")</f>
        <v>2023PhRvL.130c0602S</v>
      </c>
      <c r="B88" s="2" t="str">
        <f>HYPERLINK("https://ui.adsabs.harvard.edu/abs/2022arXiv220701660S/abstract","2022arXiv220701660S")</f>
        <v>2022arXiv220701660S</v>
      </c>
      <c r="C88" s="1" t="s">
        <v>70</v>
      </c>
      <c r="E88" s="2" t="str">
        <f>HYPERLINK("https://ui.adsabs.harvard.edu/abs/2022arXiv220701660S/abstract","2022arXiv220701660S")</f>
        <v>2022arXiv220701660S</v>
      </c>
      <c r="F88" s="1" t="s">
        <v>171</v>
      </c>
      <c r="G88" s="1" t="s">
        <v>72</v>
      </c>
      <c r="H88" s="1">
        <v>0.8831568</v>
      </c>
      <c r="I88" s="1" t="s">
        <v>170</v>
      </c>
    </row>
    <row r="89">
      <c r="A89" s="2" t="str">
        <f>HYPERLINK("https://ui.adsabs.harvard.edu/abs/2023CMaPh.tmp...15D/abstract","2023CMaPh.tmp...15D")</f>
        <v>2023CMaPh.tmp...15D</v>
      </c>
      <c r="E89" s="2" t="str">
        <f>HYPERLINK("https://ui.adsabs.harvard.edu/abs/2020arXiv200615934D/abstract","2020arXiv200615934D")</f>
        <v>2020arXiv200615934D</v>
      </c>
      <c r="F89" s="1" t="s">
        <v>172</v>
      </c>
      <c r="G89" s="1" t="s">
        <v>72</v>
      </c>
      <c r="H89" s="1">
        <v>0.8919098</v>
      </c>
      <c r="I89" s="1" t="s">
        <v>173</v>
      </c>
    </row>
    <row r="90">
      <c r="A90" s="2" t="str">
        <f>HYPERLINK("https://ui.adsabs.harvard.edu/abs/2023JDE...354....1S/abstract","2023JDE...354....1S")</f>
        <v>2023JDE...354....1S</v>
      </c>
      <c r="E90" s="2" t="str">
        <f>HYPERLINK("https://ui.adsabs.harvard.edu/abs/2020arXiv200616832S/abstract","2020arXiv200616832S")</f>
        <v>2020arXiv200616832S</v>
      </c>
      <c r="F90" s="1" t="s">
        <v>174</v>
      </c>
      <c r="G90" s="1" t="s">
        <v>72</v>
      </c>
      <c r="H90" s="1">
        <v>0.8919098</v>
      </c>
      <c r="I90" s="1" t="s">
        <v>173</v>
      </c>
    </row>
    <row r="91">
      <c r="A91" s="2" t="str">
        <f>HYPERLINK("https://ui.adsabs.harvard.edu/abs/2023PhRvD.107b5010B/abstract","2023PhRvD.107b5010B")</f>
        <v>2023PhRvD.107b5010B</v>
      </c>
      <c r="B91" s="2" t="str">
        <f>HYPERLINK("https://ui.adsabs.harvard.edu/abs/2022arXiv220712299B/abstract","2022arXiv220712299B")</f>
        <v>2022arXiv220712299B</v>
      </c>
      <c r="C91" s="1" t="s">
        <v>70</v>
      </c>
      <c r="E91" s="2" t="str">
        <f>HYPERLINK("https://ui.adsabs.harvard.edu/abs/2022arXiv220712299B/abstract","2022arXiv220712299B")</f>
        <v>2022arXiv220712299B</v>
      </c>
      <c r="F91" s="1" t="s">
        <v>175</v>
      </c>
      <c r="G91" s="1" t="s">
        <v>72</v>
      </c>
      <c r="H91" s="1">
        <v>0.8920504</v>
      </c>
      <c r="I91" s="1" t="s">
        <v>176</v>
      </c>
    </row>
    <row r="92">
      <c r="A92" s="2" t="str">
        <f>HYPERLINK("https://ui.adsabs.harvard.edu/abs/2023PhRvD.107b6014B/abstract","2023PhRvD.107b6014B")</f>
        <v>2023PhRvD.107b6014B</v>
      </c>
      <c r="B92" s="2" t="str">
        <f>HYPERLINK("https://ui.adsabs.harvard.edu/abs/2022arXiv220513352B/abstract","2022arXiv220513352B")</f>
        <v>2022arXiv220513352B</v>
      </c>
      <c r="C92" s="1" t="s">
        <v>70</v>
      </c>
      <c r="E92" s="2" t="str">
        <f>HYPERLINK("https://ui.adsabs.harvard.edu/abs/2022arXiv220513352B/abstract","2022arXiv220513352B")</f>
        <v>2022arXiv220513352B</v>
      </c>
      <c r="F92" s="1" t="s">
        <v>177</v>
      </c>
      <c r="G92" s="1" t="s">
        <v>72</v>
      </c>
      <c r="H92" s="1">
        <v>0.8920504</v>
      </c>
      <c r="I92" s="1" t="s">
        <v>176</v>
      </c>
    </row>
    <row r="93">
      <c r="A93" s="2" t="str">
        <f>HYPERLINK("https://ui.adsabs.harvard.edu/abs/2023JPhA...56a4002H/abstract","2023JPhA...56a4002H")</f>
        <v>2023JPhA...56a4002H</v>
      </c>
      <c r="B93" s="2" t="str">
        <f>HYPERLINK("https://ui.adsabs.harvard.edu/abs/2022arXiv220901523H/abstract","2022arXiv220901523H")</f>
        <v>2022arXiv220901523H</v>
      </c>
      <c r="C93" s="1" t="s">
        <v>70</v>
      </c>
      <c r="E93" s="2" t="str">
        <f>HYPERLINK("https://ui.adsabs.harvard.edu/abs/2022arXiv220901523H/abstract","2022arXiv220901523H")</f>
        <v>2022arXiv220901523H</v>
      </c>
      <c r="F93" s="1" t="s">
        <v>178</v>
      </c>
      <c r="G93" s="1" t="s">
        <v>72</v>
      </c>
      <c r="H93" s="1">
        <v>0.8920504</v>
      </c>
      <c r="I93" s="1" t="s">
        <v>176</v>
      </c>
    </row>
    <row r="94">
      <c r="A94" s="2" t="str">
        <f>HYPERLINK("https://ui.adsabs.harvard.edu/abs/2023PhRvD.107b3520R/abstract","2023PhRvD.107b3520R")</f>
        <v>2023PhRvD.107b3520R</v>
      </c>
      <c r="E94" s="2" t="str">
        <f>HYPERLINK("https://ui.adsabs.harvard.edu/abs/2020arXiv201110559R/abstract","2020arXiv201110559R")</f>
        <v>2020arXiv201110559R</v>
      </c>
      <c r="F94" s="1" t="s">
        <v>179</v>
      </c>
      <c r="G94" s="1" t="s">
        <v>72</v>
      </c>
      <c r="H94" s="1">
        <v>0.8938655</v>
      </c>
      <c r="I94" s="1" t="s">
        <v>180</v>
      </c>
    </row>
    <row r="95">
      <c r="A95" s="2" t="str">
        <f>HYPERLINK("https://ui.adsabs.harvard.edu/abs/2022Quant...6..718I/abstract","2022Quant...6..718I")</f>
        <v>2022Quant...6..718I</v>
      </c>
      <c r="B95" s="2" t="str">
        <f>HYPERLINK("https://ui.adsabs.harvard.edu/abs/2021arXiv211104351I/abstract","2021arXiv211104351I")</f>
        <v>2021arXiv211104351I</v>
      </c>
      <c r="C95" s="1" t="s">
        <v>181</v>
      </c>
      <c r="D95" s="2" t="str">
        <f>HYPERLINK("https://ui.adsabs.harvard.edu/abs/2021arXiv211104351I/abstract","2021arXiv211104351I")</f>
        <v>2021arXiv211104351I</v>
      </c>
      <c r="E95" s="2" t="str">
        <f>HYPERLINK("https://ui.adsabs.harvard.edu/abs/2022SPIE12133E..06I/abstract","2022SPIE12133E..06I")</f>
        <v>2022SPIE12133E..06I</v>
      </c>
      <c r="G95" s="1" t="s">
        <v>72</v>
      </c>
      <c r="H95" s="1">
        <v>0.8944144</v>
      </c>
      <c r="I95" s="1" t="s">
        <v>182</v>
      </c>
    </row>
    <row r="96">
      <c r="A96" s="2" t="str">
        <f>HYPERLINK("https://ui.adsabs.harvard.edu/abs/2023PhRvL.130d1901B/abstract","2023PhRvL.130d1901B")</f>
        <v>2023PhRvL.130d1901B</v>
      </c>
      <c r="E96" s="2" t="str">
        <f>HYPERLINK("https://ui.adsabs.harvard.edu/abs/2022arXiv220709366B/abstract","2022arXiv220709366B")</f>
        <v>2022arXiv220709366B</v>
      </c>
      <c r="F96" s="1" t="s">
        <v>183</v>
      </c>
      <c r="G96" s="1" t="s">
        <v>72</v>
      </c>
      <c r="H96" s="1">
        <v>0.8948191</v>
      </c>
      <c r="I96" s="1" t="s">
        <v>184</v>
      </c>
    </row>
    <row r="97">
      <c r="A97" s="2" t="str">
        <f>HYPERLINK("https://ui.adsabs.harvard.edu/abs/2023ArRMA.247....9F/abstract","2023ArRMA.247....9F")</f>
        <v>2023ArRMA.247....9F</v>
      </c>
      <c r="E97" s="2" t="str">
        <f>HYPERLINK("https://ui.adsabs.harvard.edu/abs/2021arXiv211010198F/abstract","2021arXiv211010198F")</f>
        <v>2021arXiv211010198F</v>
      </c>
      <c r="F97" s="1" t="s">
        <v>185</v>
      </c>
      <c r="G97" s="1" t="s">
        <v>72</v>
      </c>
      <c r="H97" s="1">
        <v>0.8956599</v>
      </c>
      <c r="I97" s="1" t="s">
        <v>186</v>
      </c>
    </row>
    <row r="98">
      <c r="A98" s="2" t="str">
        <f>HYPERLINK("https://ui.adsabs.harvard.edu/abs/2023PhRvA.107a2813B/abstract","2023PhRvA.107a2813B")</f>
        <v>2023PhRvA.107a2813B</v>
      </c>
      <c r="B98" s="2" t="str">
        <f>HYPERLINK("https://ui.adsabs.harvard.edu/abs/2022arXiv220805703B/abstract","2022arXiv220805703B")</f>
        <v>2022arXiv220805703B</v>
      </c>
      <c r="C98" s="1" t="s">
        <v>70</v>
      </c>
      <c r="E98" s="2" t="str">
        <f>HYPERLINK("https://ui.adsabs.harvard.edu/abs/2022arXiv220805703B/abstract","2022arXiv220805703B")</f>
        <v>2022arXiv220805703B</v>
      </c>
      <c r="F98" s="1" t="s">
        <v>187</v>
      </c>
      <c r="G98" s="1" t="s">
        <v>72</v>
      </c>
      <c r="H98" s="1">
        <v>0.9003434</v>
      </c>
      <c r="I98" s="1" t="s">
        <v>188</v>
      </c>
    </row>
    <row r="99">
      <c r="A99" s="2" t="str">
        <f>HYPERLINK("https://ui.adsabs.harvard.edu/abs/2023PhRvP..19a4055C/abstract","2023PhRvP..19a4055C")</f>
        <v>2023PhRvP..19a4055C</v>
      </c>
      <c r="B99" s="2" t="str">
        <f>HYPERLINK("https://ui.adsabs.harvard.edu/abs/2022arXiv220312544C/abstract","2022arXiv220312544C")</f>
        <v>2022arXiv220312544C</v>
      </c>
      <c r="C99" s="1" t="s">
        <v>70</v>
      </c>
      <c r="E99" s="2" t="str">
        <f>HYPERLINK("https://ui.adsabs.harvard.edu/abs/2022arXiv220312544C/abstract","2022arXiv220312544C")</f>
        <v>2022arXiv220312544C</v>
      </c>
      <c r="F99" s="1" t="s">
        <v>189</v>
      </c>
      <c r="G99" s="1" t="s">
        <v>72</v>
      </c>
      <c r="H99" s="1">
        <v>0.9005175</v>
      </c>
      <c r="I99" s="1" t="s">
        <v>190</v>
      </c>
    </row>
    <row r="100">
      <c r="A100" s="2" t="str">
        <f>HYPERLINK("https://ui.adsabs.harvard.edu/abs/2023JNEng..20a6022X/abstract","2023JNEng..20a6022X")</f>
        <v>2023JNEng..20a6022X</v>
      </c>
      <c r="B100" s="2" t="str">
        <f>HYPERLINK("https://ui.adsabs.harvard.edu/abs/2022arXiv220212948X/abstract","2022arXiv220212948X")</f>
        <v>2022arXiv220212948X</v>
      </c>
      <c r="C100" s="1" t="s">
        <v>70</v>
      </c>
      <c r="E100" s="2" t="str">
        <f>HYPERLINK("https://ui.adsabs.harvard.edu/abs/2022arXiv220212948X/abstract","2022arXiv220212948X")</f>
        <v>2022arXiv220212948X</v>
      </c>
      <c r="F100" s="1" t="s">
        <v>191</v>
      </c>
      <c r="G100" s="1" t="s">
        <v>72</v>
      </c>
      <c r="H100" s="1">
        <v>0.9006912</v>
      </c>
      <c r="I100" s="1" t="s">
        <v>192</v>
      </c>
    </row>
    <row r="101">
      <c r="A101" s="2" t="str">
        <f>HYPERLINK("https://ui.adsabs.harvard.edu/abs/2023JHEP...01..059M/abstract","2023JHEP...01..059M")</f>
        <v>2023JHEP...01..059M</v>
      </c>
      <c r="E101" s="2" t="str">
        <f>HYPERLINK("https://ui.adsabs.harvard.edu/abs/2020arXiv201202186M/abstract","2020arXiv201202186M")</f>
        <v>2020arXiv201202186M</v>
      </c>
      <c r="F101" s="1" t="s">
        <v>193</v>
      </c>
      <c r="G101" s="1" t="s">
        <v>72</v>
      </c>
      <c r="H101" s="1">
        <v>0.9012408</v>
      </c>
      <c r="I101" s="1" t="s">
        <v>194</v>
      </c>
    </row>
    <row r="102">
      <c r="A102" s="2" t="str">
        <f>HYPERLINK("https://ui.adsabs.harvard.edu/abs/2023PhRvE.107a4604F/abstract","2023PhRvE.107a4604F")</f>
        <v>2023PhRvE.107a4604F</v>
      </c>
      <c r="B102" s="2" t="str">
        <f>HYPERLINK("https://ui.adsabs.harvard.edu/abs/2022arXiv221102082F/abstract","2022arXiv221102082F")</f>
        <v>2022arXiv221102082F</v>
      </c>
      <c r="C102" s="1" t="s">
        <v>70</v>
      </c>
      <c r="E102" s="2" t="str">
        <f>HYPERLINK("https://ui.adsabs.harvard.edu/abs/2022arXiv221102082F/abstract","2022arXiv221102082F")</f>
        <v>2022arXiv221102082F</v>
      </c>
      <c r="F102" s="1" t="s">
        <v>195</v>
      </c>
      <c r="G102" s="1" t="s">
        <v>72</v>
      </c>
      <c r="H102" s="1">
        <v>0.9029225</v>
      </c>
      <c r="I102" s="1" t="s">
        <v>196</v>
      </c>
    </row>
    <row r="103">
      <c r="A103" s="2" t="str">
        <f>HYPERLINK("https://ui.adsabs.harvard.edu/abs/2023ChPhL..40b7501H/abstract","2023ChPhL..40b7501H")</f>
        <v>2023ChPhL..40b7501H</v>
      </c>
      <c r="E103" s="2" t="str">
        <f>HYPERLINK("https://ui.adsabs.harvard.edu/abs/2022arXiv220505607H/abstract","2022arXiv220505607H")</f>
        <v>2022arXiv220505607H</v>
      </c>
      <c r="F103" s="1" t="s">
        <v>197</v>
      </c>
      <c r="G103" s="1" t="s">
        <v>72</v>
      </c>
      <c r="H103" s="1">
        <v>0.9029225</v>
      </c>
      <c r="I103" s="1" t="s">
        <v>196</v>
      </c>
    </row>
    <row r="104">
      <c r="A104" s="2" t="str">
        <f>HYPERLINK("https://ui.adsabs.harvard.edu/abs/2023AnP...53500287K/abstract","2023AnP...53500287K")</f>
        <v>2023AnP...53500287K</v>
      </c>
      <c r="C104" s="1" t="s">
        <v>12</v>
      </c>
      <c r="E104" s="2" t="str">
        <f>HYPERLINK("https://ui.adsabs.harvard.edu/abs/2021arXiv211205233K/abstract","2021arXiv211205233K")</f>
        <v>2021arXiv211205233K</v>
      </c>
      <c r="F104" s="1" t="s">
        <v>198</v>
      </c>
      <c r="G104" s="1" t="s">
        <v>72</v>
      </c>
      <c r="H104" s="1">
        <v>0.9054461</v>
      </c>
      <c r="I104" s="1" t="s">
        <v>199</v>
      </c>
    </row>
    <row r="105">
      <c r="A105" s="2" t="str">
        <f>HYPERLINK("https://ui.adsabs.harvard.edu/abs/2023JPRS..196..325M/abstract","2023JPRS..196..325M")</f>
        <v>2023JPRS..196..325M</v>
      </c>
      <c r="B105" s="2" t="str">
        <f>HYPERLINK("https://ui.adsabs.harvard.edu/abs/2022arXiv220515903M/abstract","2022arXiv220515903M")</f>
        <v>2022arXiv220515903M</v>
      </c>
      <c r="C105" s="1" t="s">
        <v>70</v>
      </c>
      <c r="E105" s="2" t="str">
        <f>HYPERLINK("https://ui.adsabs.harvard.edu/abs/2022arXiv220515903M/abstract","2022arXiv220515903M")</f>
        <v>2022arXiv220515903M</v>
      </c>
      <c r="G105" s="1" t="s">
        <v>72</v>
      </c>
      <c r="H105" s="1">
        <v>0.9087113</v>
      </c>
      <c r="I105" s="1" t="s">
        <v>200</v>
      </c>
    </row>
    <row r="106">
      <c r="A106" s="2" t="str">
        <f>HYPERLINK("https://ui.adsabs.harvard.edu/abs/2023NanoA...5..412V/abstract","2023NanoA...5..412V")</f>
        <v>2023NanoA...5..412V</v>
      </c>
      <c r="E106" s="2" t="str">
        <f>HYPERLINK("https://ui.adsabs.harvard.edu/abs/2022arXiv221000776V/abstract","2022arXiv221000776V")</f>
        <v>2022arXiv221000776V</v>
      </c>
      <c r="F106" s="1" t="s">
        <v>201</v>
      </c>
      <c r="G106" s="1" t="s">
        <v>72</v>
      </c>
      <c r="H106" s="1">
        <v>0.9110951</v>
      </c>
      <c r="I106" s="1" t="s">
        <v>202</v>
      </c>
    </row>
    <row r="107">
      <c r="A107" s="2" t="str">
        <f>HYPERLINK("https://ui.adsabs.harvard.edu/abs/2023JMiMi..33b4004P/abstract","2023JMiMi..33b4004P")</f>
        <v>2023JMiMi..33b4004P</v>
      </c>
      <c r="E107" s="2" t="str">
        <f>HYPERLINK("https://ui.adsabs.harvard.edu/abs/2020arXiv200411614P/abstract","2020arXiv200411614P")</f>
        <v>2020arXiv200411614P</v>
      </c>
      <c r="F107" s="1" t="s">
        <v>203</v>
      </c>
      <c r="G107" s="1" t="s">
        <v>72</v>
      </c>
      <c r="H107" s="1">
        <v>0.9112201</v>
      </c>
      <c r="I107" s="1" t="s">
        <v>204</v>
      </c>
    </row>
    <row r="108">
      <c r="A108" s="2" t="str">
        <f>HYPERLINK("https://ui.adsabs.harvard.edu/abs/2023CondM...8...12D/abstract","2023CondM...8...12D")</f>
        <v>2023CondM...8...12D</v>
      </c>
      <c r="B108" s="2" t="str">
        <f>HYPERLINK("https://ui.adsabs.harvard.edu/abs/2022arXiv220711948D/abstract","2022arXiv220711948D")</f>
        <v>2022arXiv220711948D</v>
      </c>
      <c r="C108" s="1" t="s">
        <v>70</v>
      </c>
      <c r="E108" s="2" t="str">
        <f>HYPERLINK("https://ui.adsabs.harvard.edu/abs/2022arXiv220711948D/abstract","2022arXiv220711948D")</f>
        <v>2022arXiv220711948D</v>
      </c>
      <c r="F108" s="1" t="s">
        <v>205</v>
      </c>
      <c r="G108" s="1" t="s">
        <v>72</v>
      </c>
      <c r="H108" s="1">
        <v>0.912687</v>
      </c>
      <c r="I108" s="1" t="s">
        <v>206</v>
      </c>
    </row>
    <row r="109">
      <c r="A109" s="2" t="str">
        <f>HYPERLINK("https://ui.adsabs.harvard.edu/abs/2023PhRvC.107a5204H/abstract","2023PhRvC.107a5204H")</f>
        <v>2023PhRvC.107a5204H</v>
      </c>
      <c r="B109" s="2" t="str">
        <f>HYPERLINK("https://ui.adsabs.harvard.edu/abs/2022arXiv221011276H/abstract","2022arXiv221011276H")</f>
        <v>2022arXiv221011276H</v>
      </c>
      <c r="C109" s="1" t="s">
        <v>70</v>
      </c>
      <c r="E109" s="2" t="str">
        <f>HYPERLINK("https://ui.adsabs.harvard.edu/abs/2022arXiv221011276H/abstract","2022arXiv221011276H")</f>
        <v>2022arXiv221011276H</v>
      </c>
      <c r="F109" s="1" t="s">
        <v>207</v>
      </c>
      <c r="G109" s="1" t="s">
        <v>72</v>
      </c>
      <c r="H109" s="1">
        <v>0.912961</v>
      </c>
      <c r="I109" s="1" t="s">
        <v>208</v>
      </c>
    </row>
    <row r="110">
      <c r="A110" s="2" t="str">
        <f>HYPERLINK("https://ui.adsabs.harvard.edu/abs/2023Symm...15..282S/abstract","2023Symm...15..282S")</f>
        <v>2023Symm...15..282S</v>
      </c>
      <c r="E110" s="2" t="str">
        <f>HYPERLINK("https://ui.adsabs.harvard.edu/abs/2022arXiv221111029B/abstract","2022arXiv221111029B")</f>
        <v>2022arXiv221111029B</v>
      </c>
      <c r="F110" s="1" t="s">
        <v>209</v>
      </c>
      <c r="G110" s="1" t="s">
        <v>72</v>
      </c>
      <c r="H110" s="1">
        <v>0.913469</v>
      </c>
      <c r="I110" s="1" t="s">
        <v>210</v>
      </c>
    </row>
    <row r="111">
      <c r="A111" s="2" t="str">
        <f>HYPERLINK("https://ui.adsabs.harvard.edu/abs/2023PhRvR...5a3016K/abstract","2023PhRvR...5a3016K")</f>
        <v>2023PhRvR...5a3016K</v>
      </c>
      <c r="E111" s="2" t="str">
        <f>HYPERLINK("https://ui.adsabs.harvard.edu/abs/2020arXiv201014885K/abstract","2020arXiv201014885K")</f>
        <v>2020arXiv201014885K</v>
      </c>
      <c r="F111" s="1" t="s">
        <v>211</v>
      </c>
      <c r="G111" s="1" t="s">
        <v>72</v>
      </c>
      <c r="H111" s="1">
        <v>0.9136265</v>
      </c>
      <c r="I111" s="1" t="s">
        <v>212</v>
      </c>
    </row>
    <row r="112">
      <c r="A112" s="2" t="str">
        <f>HYPERLINK("https://ui.adsabs.harvard.edu/abs/2023PhRvD.107a5016C/abstract","2023PhRvD.107a5016C")</f>
        <v>2023PhRvD.107a5016C</v>
      </c>
      <c r="B112" s="2" t="str">
        <f>HYPERLINK("https://ui.adsabs.harvard.edu/abs/2022arXiv220102989C/abstract","2022arXiv220102989C")</f>
        <v>2022arXiv220102989C</v>
      </c>
      <c r="C112" s="1" t="s">
        <v>70</v>
      </c>
      <c r="E112" s="2" t="str">
        <f>HYPERLINK("https://ui.adsabs.harvard.edu/abs/2022arXiv220102989C/abstract","2022arXiv220102989C")</f>
        <v>2022arXiv220102989C</v>
      </c>
      <c r="F112" s="1" t="s">
        <v>213</v>
      </c>
      <c r="G112" s="1" t="s">
        <v>72</v>
      </c>
      <c r="H112" s="1">
        <v>0.9199352</v>
      </c>
      <c r="I112" s="1" t="s">
        <v>214</v>
      </c>
    </row>
    <row r="113">
      <c r="A113" s="2" t="str">
        <f>HYPERLINK("https://ui.adsabs.harvard.edu/abs/2023PhRvE.107a4304P/abstract","2023PhRvE.107a4304P")</f>
        <v>2023PhRvE.107a4304P</v>
      </c>
      <c r="E113" s="2" t="str">
        <f>HYPERLINK("https://ui.adsabs.harvard.edu/abs/2021arXiv211106783P/abstract","2021arXiv211106783P")</f>
        <v>2021arXiv211106783P</v>
      </c>
      <c r="F113" s="1" t="s">
        <v>215</v>
      </c>
      <c r="G113" s="1" t="s">
        <v>72</v>
      </c>
      <c r="H113" s="1">
        <v>0.9235912</v>
      </c>
      <c r="I113" s="1" t="s">
        <v>216</v>
      </c>
    </row>
    <row r="114">
      <c r="A114" s="2" t="str">
        <f>HYPERLINK("https://ui.adsabs.harvard.edu/abs/2023ArRMA.247....7C/abstract","2023ArRMA.247....7C")</f>
        <v>2023ArRMA.247....7C</v>
      </c>
      <c r="E114" s="2" t="str">
        <f>HYPERLINK("https://ui.adsabs.harvard.edu/abs/2021arXiv210602728C/abstract","2021arXiv210602728C")</f>
        <v>2021arXiv210602728C</v>
      </c>
      <c r="F114" s="1" t="s">
        <v>217</v>
      </c>
      <c r="G114" s="1" t="s">
        <v>72</v>
      </c>
      <c r="H114" s="1">
        <v>0.9277523</v>
      </c>
      <c r="I114" s="1" t="s">
        <v>218</v>
      </c>
    </row>
    <row r="115">
      <c r="A115" s="2" t="str">
        <f>HYPERLINK("https://ui.adsabs.harvard.edu/abs/2023Photo..10..108S/abstract","2023Photo..10..108S")</f>
        <v>2023Photo..10..108S</v>
      </c>
      <c r="B115" s="2" t="str">
        <f>HYPERLINK("https://ui.adsabs.harvard.edu/abs/2022arXiv220703889S/abstract","2022arXiv220703889S")</f>
        <v>2022arXiv220703889S</v>
      </c>
      <c r="C115" s="1" t="s">
        <v>70</v>
      </c>
      <c r="E115" s="2" t="str">
        <f>HYPERLINK("https://ui.adsabs.harvard.edu/abs/2022arXiv220703889S/abstract","2022arXiv220703889S")</f>
        <v>2022arXiv220703889S</v>
      </c>
      <c r="F115" s="1" t="s">
        <v>219</v>
      </c>
      <c r="G115" s="1" t="s">
        <v>72</v>
      </c>
      <c r="H115" s="1">
        <v>0.9282249</v>
      </c>
      <c r="I115" s="1" t="s">
        <v>220</v>
      </c>
    </row>
    <row r="116">
      <c r="A116" s="2" t="str">
        <f>HYPERLINK("https://ui.adsabs.harvard.edu/abs/2023JHEP...01..026A/abstract","2023JHEP...01..026A")</f>
        <v>2023JHEP...01..026A</v>
      </c>
      <c r="E116" s="2" t="str">
        <f>HYPERLINK("https://ui.adsabs.harvard.edu/abs/2022arXiv220704071A/abstract","2022arXiv220704071A")</f>
        <v>2022arXiv220704071A</v>
      </c>
      <c r="F116" s="1" t="s">
        <v>221</v>
      </c>
      <c r="G116" s="1" t="s">
        <v>72</v>
      </c>
      <c r="H116" s="1">
        <v>0.9317582</v>
      </c>
      <c r="I116" s="1" t="s">
        <v>222</v>
      </c>
    </row>
    <row r="117">
      <c r="A117" s="2" t="str">
        <f>HYPERLINK("https://ui.adsabs.harvard.edu/abs/2023JFM...955A..34F/abstract","2023JFM...955A..34F")</f>
        <v>2023JFM...955A..34F</v>
      </c>
      <c r="B117" s="2" t="str">
        <f>HYPERLINK("https://ui.adsabs.harvard.edu/abs/2022arXiv220314781F/abstract","2022arXiv220314781F")</f>
        <v>2022arXiv220314781F</v>
      </c>
      <c r="C117" s="1" t="s">
        <v>70</v>
      </c>
      <c r="E117" s="2" t="str">
        <f>HYPERLINK("https://ui.adsabs.harvard.edu/abs/2022arXiv220314781F/abstract","2022arXiv220314781F")</f>
        <v>2022arXiv220314781F</v>
      </c>
      <c r="F117" s="1" t="s">
        <v>223</v>
      </c>
      <c r="G117" s="1" t="s">
        <v>72</v>
      </c>
      <c r="H117" s="1">
        <v>0.9318815</v>
      </c>
      <c r="I117" s="1" t="s">
        <v>224</v>
      </c>
    </row>
    <row r="118">
      <c r="A118" s="2" t="str">
        <f>HYPERLINK("https://ui.adsabs.harvard.edu/abs/2023EPJP..138...21M/abstract","2023EPJP..138...21M")</f>
        <v>2023EPJP..138...21M</v>
      </c>
      <c r="E118" s="2" t="str">
        <f>HYPERLINK("https://ui.adsabs.harvard.edu/abs/2022arXiv220413298M/abstract","2022arXiv220413298M")</f>
        <v>2022arXiv220413298M</v>
      </c>
      <c r="F118" s="1" t="s">
        <v>225</v>
      </c>
      <c r="G118" s="1" t="s">
        <v>72</v>
      </c>
      <c r="H118" s="1">
        <v>0.9339446</v>
      </c>
      <c r="I118" s="1" t="s">
        <v>226</v>
      </c>
    </row>
    <row r="119">
      <c r="A119" s="2" t="str">
        <f>HYPERLINK("https://ui.adsabs.harvard.edu/abs/2023PhPl...30a2707M/abstract","2023PhPl...30a2707M")</f>
        <v>2023PhPl...30a2707M</v>
      </c>
      <c r="E119" s="2" t="str">
        <f>HYPERLINK("https://ui.adsabs.harvard.edu/abs/2022arXiv220813131M/abstract","2022arXiv220813131M")</f>
        <v>2022arXiv220813131M</v>
      </c>
      <c r="F119" s="1" t="s">
        <v>227</v>
      </c>
      <c r="G119" s="1" t="s">
        <v>72</v>
      </c>
      <c r="H119" s="1">
        <v>0.9358863</v>
      </c>
      <c r="I119" s="1" t="s">
        <v>228</v>
      </c>
    </row>
    <row r="120">
      <c r="A120" s="2" t="str">
        <f>HYPERLINK("https://ui.adsabs.harvard.edu/abs/2023PhRvL.130c8202Z/abstract","2023PhRvL.130c8202Z")</f>
        <v>2023PhRvL.130c8202Z</v>
      </c>
      <c r="E120" s="2" t="str">
        <f>HYPERLINK("https://ui.adsabs.harvard.edu/abs/2021arXiv211114401Z/abstract","2021arXiv211114401Z")</f>
        <v>2021arXiv211114401Z</v>
      </c>
      <c r="F120" s="1" t="s">
        <v>229</v>
      </c>
      <c r="G120" s="1" t="s">
        <v>72</v>
      </c>
      <c r="H120" s="1">
        <v>0.936645</v>
      </c>
      <c r="I120" s="1" t="s">
        <v>230</v>
      </c>
    </row>
    <row r="121">
      <c r="A121" s="2" t="str">
        <f>HYPERLINK("https://ui.adsabs.harvard.edu/abs/2023PhRvD.107b3519G/abstract","2023PhRvD.107b3519G")</f>
        <v>2023PhRvD.107b3519G</v>
      </c>
      <c r="E121" s="2" t="str">
        <f>HYPERLINK("https://ui.adsabs.harvard.edu/abs/2022arXiv220709968G/abstract","2022arXiv220709968G")</f>
        <v>2022arXiv220709968G</v>
      </c>
      <c r="F121" s="1" t="s">
        <v>231</v>
      </c>
      <c r="G121" s="1" t="s">
        <v>72</v>
      </c>
      <c r="H121" s="1">
        <v>0.9390164</v>
      </c>
      <c r="I121" s="1" t="s">
        <v>232</v>
      </c>
    </row>
    <row r="122">
      <c r="A122" s="2" t="str">
        <f>HYPERLINK("https://ui.adsabs.harvard.edu/abs/2023PhRvB.107d5128B/abstract","2023PhRvB.107d5128B")</f>
        <v>2023PhRvB.107d5128B</v>
      </c>
      <c r="B122" s="2" t="str">
        <f>HYPERLINK("https://ui.adsabs.harvard.edu/abs/2022arXiv220503732B/abstract","2022arXiv220503732B")</f>
        <v>2022arXiv220503732B</v>
      </c>
      <c r="C122" s="1" t="s">
        <v>70</v>
      </c>
      <c r="E122" s="2" t="str">
        <f>HYPERLINK("https://ui.adsabs.harvard.edu/abs/2022arXiv220503732B/abstract","2022arXiv220503732B")</f>
        <v>2022arXiv220503732B</v>
      </c>
      <c r="F122" s="1" t="s">
        <v>233</v>
      </c>
      <c r="G122" s="1" t="s">
        <v>72</v>
      </c>
      <c r="H122" s="1">
        <v>0.9391275</v>
      </c>
      <c r="I122" s="1" t="s">
        <v>234</v>
      </c>
    </row>
    <row r="123">
      <c r="A123" s="2" t="str">
        <f>HYPERLINK("https://ui.adsabs.harvard.edu/abs/2023JSP...190...54D/abstract","2023JSP...190...54D")</f>
        <v>2023JSP...190...54D</v>
      </c>
      <c r="E123" s="2" t="str">
        <f>HYPERLINK("https://ui.adsabs.harvard.edu/abs/2021arXiv210808714D/abstract","2021arXiv210808714D")</f>
        <v>2021arXiv210808714D</v>
      </c>
      <c r="F123" s="1" t="s">
        <v>235</v>
      </c>
      <c r="G123" s="1" t="s">
        <v>72</v>
      </c>
      <c r="H123" s="1">
        <v>0.9397595</v>
      </c>
      <c r="I123" s="1" t="s">
        <v>236</v>
      </c>
    </row>
    <row r="124">
      <c r="A124" s="2" t="str">
        <f>HYPERLINK("https://ui.adsabs.harvard.edu/abs/2023PhRvB.107b0405C/abstract","2023PhRvB.107b0405C")</f>
        <v>2023PhRvB.107b0405C</v>
      </c>
      <c r="B124" s="2" t="str">
        <f>HYPERLINK("https://ui.adsabs.harvard.edu/abs/2022arXiv220702492C/abstract","2022arXiv220702492C")</f>
        <v>2022arXiv220702492C</v>
      </c>
      <c r="C124" s="1" t="s">
        <v>70</v>
      </c>
      <c r="E124" s="2" t="str">
        <f>HYPERLINK("https://ui.adsabs.harvard.edu/abs/2022arXiv220702492C/abstract","2022arXiv220702492C")</f>
        <v>2022arXiv220702492C</v>
      </c>
      <c r="F124" s="1" t="s">
        <v>237</v>
      </c>
      <c r="G124" s="1" t="s">
        <v>72</v>
      </c>
      <c r="H124" s="1">
        <v>0.9404332</v>
      </c>
      <c r="I124" s="1" t="s">
        <v>238</v>
      </c>
    </row>
    <row r="125">
      <c r="A125" s="2" t="str">
        <f>HYPERLINK("https://ui.adsabs.harvard.edu/abs/2023PhRvL.130d0201X/abstract","2023PhRvL.130d0201X")</f>
        <v>2023PhRvL.130d0201X</v>
      </c>
      <c r="E125" s="2" t="str">
        <f>HYPERLINK("https://ui.adsabs.harvard.edu/abs/2022arXiv220405385X/abstract","2022arXiv220405385X")</f>
        <v>2022arXiv220405385X</v>
      </c>
      <c r="F125" s="1" t="s">
        <v>239</v>
      </c>
      <c r="G125" s="1" t="s">
        <v>72</v>
      </c>
      <c r="H125" s="1">
        <v>0.9405782</v>
      </c>
      <c r="I125" s="1" t="s">
        <v>240</v>
      </c>
    </row>
    <row r="126">
      <c r="A126" s="2" t="str">
        <f>HYPERLINK("https://ui.adsabs.harvard.edu/abs/2023CSF...16813117S/abstract","2023CSF...16813117S")</f>
        <v>2023CSF...16813117S</v>
      </c>
      <c r="E126" s="2" t="str">
        <f>HYPERLINK("https://ui.adsabs.harvard.edu/abs/2022arXiv221115049V/abstract","2022arXiv221115049V")</f>
        <v>2022arXiv221115049V</v>
      </c>
      <c r="F126" s="1" t="s">
        <v>241</v>
      </c>
      <c r="G126" s="1" t="s">
        <v>72</v>
      </c>
      <c r="H126" s="1">
        <v>0.9416502</v>
      </c>
      <c r="I126" s="1" t="s">
        <v>242</v>
      </c>
    </row>
    <row r="127">
      <c r="A127" s="2" t="str">
        <f>HYPERLINK("https://ui.adsabs.harvard.edu/abs/2023PhRvL.130c3002J/abstract","2023PhRvL.130c3002J")</f>
        <v>2023PhRvL.130c3002J</v>
      </c>
      <c r="B127" s="2" t="str">
        <f>HYPERLINK("https://ui.adsabs.harvard.edu/abs/2022arXiv220710064J/abstract","2022arXiv220710064J")</f>
        <v>2022arXiv220710064J</v>
      </c>
      <c r="C127" s="1" t="s">
        <v>70</v>
      </c>
      <c r="E127" s="2" t="str">
        <f>HYPERLINK("https://ui.adsabs.harvard.edu/abs/2022arXiv220710064J/abstract","2022arXiv220710064J")</f>
        <v>2022arXiv220710064J</v>
      </c>
      <c r="F127" s="1" t="s">
        <v>243</v>
      </c>
      <c r="G127" s="1" t="s">
        <v>72</v>
      </c>
      <c r="H127" s="1">
        <v>0.9440308</v>
      </c>
      <c r="I127" s="1" t="s">
        <v>244</v>
      </c>
    </row>
    <row r="128">
      <c r="A128" s="2" t="str">
        <f>HYPERLINK("https://ui.adsabs.harvard.edu/abs/2023PhRvD.107a5013A/abstract","2023PhRvD.107a5013A")</f>
        <v>2023PhRvD.107a5013A</v>
      </c>
      <c r="E128" s="2" t="str">
        <f>HYPERLINK("https://ui.adsabs.harvard.edu/abs/2022arXiv220101062A/abstract","2022arXiv220101062A")</f>
        <v>2022arXiv220101062A</v>
      </c>
      <c r="F128" s="1" t="s">
        <v>245</v>
      </c>
      <c r="G128" s="1" t="s">
        <v>72</v>
      </c>
      <c r="H128" s="1">
        <v>0.9447445</v>
      </c>
      <c r="I128" s="1" t="s">
        <v>246</v>
      </c>
    </row>
    <row r="129">
      <c r="A129" s="2" t="str">
        <f>HYPERLINK("https://ui.adsabs.harvard.edu/abs/2023ApPhL.122c2402K/abstract","2023ApPhL.122c2402K")</f>
        <v>2023ApPhL.122c2402K</v>
      </c>
      <c r="B129" s="2" t="str">
        <f>HYPERLINK("https://ui.adsabs.harvard.edu/abs/2023arXiv230102188K/abstract","2023arXiv230102188K")</f>
        <v>2023arXiv230102188K</v>
      </c>
      <c r="C129" s="1" t="s">
        <v>70</v>
      </c>
      <c r="E129" s="2" t="str">
        <f>HYPERLINK("https://ui.adsabs.harvard.edu/abs/2023arXiv230102188K/abstract","2023arXiv230102188K")</f>
        <v>2023arXiv230102188K</v>
      </c>
      <c r="F129" s="1" t="s">
        <v>247</v>
      </c>
      <c r="G129" s="1" t="s">
        <v>72</v>
      </c>
      <c r="H129" s="1">
        <v>0.9453474</v>
      </c>
      <c r="I129" s="1" t="s">
        <v>248</v>
      </c>
    </row>
    <row r="130">
      <c r="A130" s="2" t="str">
        <f>HYPERLINK("https://ui.adsabs.harvard.edu/abs/2023AIPA...13a5313S/abstract","2023AIPA...13a5313S")</f>
        <v>2023AIPA...13a5313S</v>
      </c>
      <c r="B130" s="2" t="str">
        <f>HYPERLINK("https://ui.adsabs.harvard.edu/abs/2022arXiv221106618S/abstract","2022arXiv221106618S")</f>
        <v>2022arXiv221106618S</v>
      </c>
      <c r="C130" s="1" t="s">
        <v>70</v>
      </c>
      <c r="E130" s="2" t="str">
        <f>HYPERLINK("https://ui.adsabs.harvard.edu/abs/2022arXiv221106618S/abstract","2022arXiv221106618S")</f>
        <v>2022arXiv221106618S</v>
      </c>
      <c r="F130" s="1" t="s">
        <v>249</v>
      </c>
      <c r="G130" s="1" t="s">
        <v>72</v>
      </c>
      <c r="H130" s="1">
        <v>0.9453474</v>
      </c>
      <c r="I130" s="1" t="s">
        <v>248</v>
      </c>
    </row>
    <row r="131">
      <c r="A131" s="2" t="str">
        <f>HYPERLINK("https://ui.adsabs.harvard.edu/abs/2023PhRvP..19a4044W/abstract","2023PhRvP..19a4044W")</f>
        <v>2023PhRvP..19a4044W</v>
      </c>
      <c r="B131" s="2" t="str">
        <f>HYPERLINK("https://ui.adsabs.harvard.edu/abs/2022arXiv220610296W/abstract","2022arXiv220610296W")</f>
        <v>2022arXiv220610296W</v>
      </c>
      <c r="C131" s="1" t="s">
        <v>70</v>
      </c>
      <c r="E131" s="2" t="str">
        <f>HYPERLINK("https://ui.adsabs.harvard.edu/abs/2022arXiv220610296W/abstract","2022arXiv220610296W")</f>
        <v>2022arXiv220610296W</v>
      </c>
      <c r="F131" s="1" t="s">
        <v>250</v>
      </c>
      <c r="G131" s="1" t="s">
        <v>72</v>
      </c>
      <c r="H131" s="1">
        <v>0.9460858</v>
      </c>
      <c r="I131" s="1" t="s">
        <v>251</v>
      </c>
    </row>
    <row r="132">
      <c r="A132" s="2" t="str">
        <f>HYPERLINK("https://ui.adsabs.harvard.edu/abs/2023JHEP...01..069T/abstract","2023JHEP...01..069T")</f>
        <v>2023JHEP...01..069T</v>
      </c>
      <c r="B132" s="2" t="str">
        <f>HYPERLINK("https://ui.adsabs.harvard.edu/abs/2022arXiv220811139T/abstract","2022arXiv220811139T")</f>
        <v>2022arXiv220811139T</v>
      </c>
      <c r="C132" s="1" t="s">
        <v>70</v>
      </c>
      <c r="E132" s="2" t="str">
        <f>HYPERLINK("https://ui.adsabs.harvard.edu/abs/2022arXiv220811139T/abstract","2022arXiv220811139T")</f>
        <v>2022arXiv220811139T</v>
      </c>
      <c r="F132" s="1" t="s">
        <v>252</v>
      </c>
      <c r="G132" s="1" t="s">
        <v>72</v>
      </c>
      <c r="H132" s="1">
        <v>0.9469283</v>
      </c>
      <c r="I132" s="1" t="s">
        <v>253</v>
      </c>
    </row>
    <row r="133">
      <c r="A133" s="2" t="str">
        <f>HYPERLINK("https://ui.adsabs.harvard.edu/abs/2023Entrp..25..191D/abstract","2023Entrp..25..191D")</f>
        <v>2023Entrp..25..191D</v>
      </c>
      <c r="E133" s="2" t="str">
        <f>HYPERLINK("https://ui.adsabs.harvard.edu/abs/2021arXiv211203674D/abstract","2021arXiv211203674D")</f>
        <v>2021arXiv211203674D</v>
      </c>
      <c r="F133" s="1" t="s">
        <v>254</v>
      </c>
      <c r="G133" s="1" t="s">
        <v>72</v>
      </c>
      <c r="H133" s="1">
        <v>0.9475953</v>
      </c>
      <c r="I133" s="1" t="s">
        <v>255</v>
      </c>
    </row>
    <row r="134">
      <c r="A134" s="2" t="str">
        <f>HYPERLINK("https://ui.adsabs.harvard.edu/abs/2023SJSC...45B..27M/abstract","2023SJSC...45B..27M")</f>
        <v>2023SJSC...45B..27M</v>
      </c>
      <c r="C134" s="1" t="s">
        <v>12</v>
      </c>
      <c r="E134" s="2" t="str">
        <f>HYPERLINK("https://ui.adsabs.harvard.edu/abs/2022arXiv220301662M/abstract","2022arXiv220301662M")</f>
        <v>2022arXiv220301662M</v>
      </c>
      <c r="F134" s="1" t="s">
        <v>256</v>
      </c>
      <c r="G134" s="1" t="s">
        <v>72</v>
      </c>
      <c r="H134" s="1">
        <v>0.9501662</v>
      </c>
      <c r="I134" s="1" t="s">
        <v>257</v>
      </c>
    </row>
    <row r="135">
      <c r="A135" s="2" t="str">
        <f>HYPERLINK("https://ui.adsabs.harvard.edu/abs/2023ArRMA.247....8B/abstract","2023ArRMA.247....8B")</f>
        <v>2023ArRMA.247....8B</v>
      </c>
      <c r="E135" s="2" t="str">
        <f>HYPERLINK("https://ui.adsabs.harvard.edu/abs/2020arXiv200910180B/abstract","2020arXiv200910180B")</f>
        <v>2020arXiv200910180B</v>
      </c>
      <c r="F135" s="1" t="s">
        <v>258</v>
      </c>
      <c r="G135" s="1" t="s">
        <v>72</v>
      </c>
      <c r="H135" s="1">
        <v>0.951233</v>
      </c>
      <c r="I135" s="1" t="s">
        <v>259</v>
      </c>
    </row>
    <row r="136">
      <c r="A136" s="2" t="str">
        <f>HYPERLINK("https://ui.adsabs.harvard.edu/abs/2023JHEP...01..057K/abstract","2023JHEP...01..057K")</f>
        <v>2023JHEP...01..057K</v>
      </c>
      <c r="E136" s="2" t="str">
        <f>HYPERLINK("https://ui.adsabs.harvard.edu/abs/2020arXiv201003560K/abstract","2020arXiv201003560K")</f>
        <v>2020arXiv201003560K</v>
      </c>
      <c r="F136" s="1" t="s">
        <v>260</v>
      </c>
      <c r="G136" s="1" t="s">
        <v>72</v>
      </c>
      <c r="H136" s="1">
        <v>0.951233</v>
      </c>
      <c r="I136" s="1" t="s">
        <v>259</v>
      </c>
    </row>
    <row r="137">
      <c r="A137" s="2" t="str">
        <f>HYPERLINK("https://ui.adsabs.harvard.edu/abs/2018Quant...2...50N/abstract","2018Quant...2...50N")</f>
        <v>2018Quant...2...50N</v>
      </c>
      <c r="E137" s="2" t="str">
        <f>HYPERLINK("https://ui.adsabs.harvard.edu/abs/2015arXiv150904507N/abstract","2015arXiv150904507N")</f>
        <v>2015arXiv150904507N</v>
      </c>
      <c r="F137" s="1" t="s">
        <v>261</v>
      </c>
      <c r="G137" s="1" t="s">
        <v>72</v>
      </c>
      <c r="H137" s="1">
        <v>0.951233</v>
      </c>
      <c r="I137" s="1" t="s">
        <v>259</v>
      </c>
    </row>
    <row r="138">
      <c r="A138" s="2" t="str">
        <f>HYPERLINK("https://ui.adsabs.harvard.edu/abs/2023QuIP...22...43B/abstract","2023QuIP...22...43B")</f>
        <v>2023QuIP...22...43B</v>
      </c>
      <c r="E138" s="2" t="str">
        <f>HYPERLINK("https://ui.adsabs.harvard.edu/abs/2021arXiv210111240B/abstract","2021arXiv210111240B")</f>
        <v>2021arXiv210111240B</v>
      </c>
      <c r="F138" s="1" t="s">
        <v>262</v>
      </c>
      <c r="G138" s="1" t="s">
        <v>72</v>
      </c>
      <c r="H138" s="1">
        <v>0.9517584</v>
      </c>
      <c r="I138" s="1" t="s">
        <v>263</v>
      </c>
    </row>
    <row r="139">
      <c r="A139" s="2" t="str">
        <f>HYPERLINK("https://ui.adsabs.harvard.edu/abs/2023JCoPh.47611910K/abstract","2023JCoPh.47611910K")</f>
        <v>2023JCoPh.47611910K</v>
      </c>
      <c r="E139" s="2" t="str">
        <f>HYPERLINK("https://ui.adsabs.harvard.edu/abs/2022arXiv220909420K/abstract","2022arXiv220909420K")</f>
        <v>2022arXiv220909420K</v>
      </c>
      <c r="F139" s="1" t="s">
        <v>264</v>
      </c>
      <c r="G139" s="1" t="s">
        <v>72</v>
      </c>
      <c r="H139" s="1">
        <v>0.9521171</v>
      </c>
      <c r="I139" s="1" t="s">
        <v>265</v>
      </c>
    </row>
    <row r="140">
      <c r="A140" s="2" t="str">
        <f>HYPERLINK("https://ui.adsabs.harvard.edu/abs/2023PhRvA.107a2612T/abstract","2023PhRvA.107a2612T")</f>
        <v>2023PhRvA.107a2612T</v>
      </c>
      <c r="B140" s="2" t="str">
        <f>HYPERLINK("https://ui.adsabs.harvard.edu/abs/2022arXiv220302074T/abstract","2022arXiv220302074T")</f>
        <v>2022arXiv220302074T</v>
      </c>
      <c r="C140" s="1" t="s">
        <v>70</v>
      </c>
      <c r="E140" s="2" t="str">
        <f>HYPERLINK("https://ui.adsabs.harvard.edu/abs/2022arXiv220302074T/abstract","2022arXiv220302074T")</f>
        <v>2022arXiv220302074T</v>
      </c>
      <c r="F140" s="1" t="s">
        <v>266</v>
      </c>
      <c r="G140" s="1" t="s">
        <v>72</v>
      </c>
      <c r="H140" s="1">
        <v>0.9538642</v>
      </c>
      <c r="I140" s="1" t="s">
        <v>267</v>
      </c>
    </row>
    <row r="141">
      <c r="A141" s="2" t="str">
        <f>HYPERLINK("https://ui.adsabs.harvard.edu/abs/2023NatCC..13...67L/abstract","2023NatCC..13...67L")</f>
        <v>2023NatCC..13...67L</v>
      </c>
      <c r="B141" s="2" t="str">
        <f>HYPERLINK("https://ui.adsabs.harvard.edu/abs/2022arXiv220904327L/abstract","2022arXiv220904327L")</f>
        <v>2022arXiv220904327L</v>
      </c>
      <c r="C141" s="1" t="s">
        <v>70</v>
      </c>
      <c r="E141" s="2" t="str">
        <f>HYPERLINK("https://ui.adsabs.harvard.edu/abs/2022arXiv220904327L/abstract","2022arXiv220904327L")</f>
        <v>2022arXiv220904327L</v>
      </c>
      <c r="F141" s="1" t="s">
        <v>268</v>
      </c>
      <c r="G141" s="1" t="s">
        <v>72</v>
      </c>
      <c r="H141" s="1">
        <v>0.9540347</v>
      </c>
      <c r="I141" s="1" t="s">
        <v>269</v>
      </c>
    </row>
    <row r="142">
      <c r="A142" s="2" t="str">
        <f>HYPERLINK("https://ui.adsabs.harvard.edu/abs/2023LMaPh.113....9G/abstract","2023LMaPh.113....9G")</f>
        <v>2023LMaPh.113....9G</v>
      </c>
      <c r="E142" s="2" t="str">
        <f>HYPERLINK("https://ui.adsabs.harvard.edu/abs/2022arXiv220202936G/abstract","2022arXiv220202936G")</f>
        <v>2022arXiv220202936G</v>
      </c>
      <c r="F142" s="1" t="s">
        <v>270</v>
      </c>
      <c r="G142" s="1" t="s">
        <v>72</v>
      </c>
      <c r="H142" s="1">
        <v>0.9540783</v>
      </c>
      <c r="I142" s="1" t="s">
        <v>271</v>
      </c>
    </row>
    <row r="143">
      <c r="A143" s="2" t="str">
        <f>HYPERLINK("https://ui.adsabs.harvard.edu/abs/2023PhRvB.107d1301G/abstract","2023PhRvB.107d1301G")</f>
        <v>2023PhRvB.107d1301G</v>
      </c>
      <c r="E143" s="2" t="str">
        <f>HYPERLINK("https://ui.adsabs.harvard.edu/abs/2022arXiv220611916G/abstract","2022arXiv220611916G")</f>
        <v>2022arXiv220611916G</v>
      </c>
      <c r="F143" s="1" t="s">
        <v>272</v>
      </c>
      <c r="G143" s="1" t="s">
        <v>72</v>
      </c>
      <c r="H143" s="1">
        <v>0.9540783</v>
      </c>
      <c r="I143" s="1" t="s">
        <v>271</v>
      </c>
    </row>
    <row r="144">
      <c r="A144" s="2" t="str">
        <f>HYPERLINK("https://ui.adsabs.harvard.edu/abs/2023PhRvS..26a4402S/abstract","2023PhRvS..26a4402S")</f>
        <v>2023PhRvS..26a4402S</v>
      </c>
      <c r="B144" s="2" t="str">
        <f>HYPERLINK("https://ui.adsabs.harvard.edu/abs/2022arXiv220304220S/abstract","2022arXiv220304220S")</f>
        <v>2022arXiv220304220S</v>
      </c>
      <c r="C144" s="1" t="s">
        <v>70</v>
      </c>
      <c r="E144" s="2" t="str">
        <f>HYPERLINK("https://ui.adsabs.harvard.edu/abs/2022arXiv220304220S/abstract","2022arXiv220304220S")</f>
        <v>2022arXiv220304220S</v>
      </c>
      <c r="F144" s="1" t="s">
        <v>273</v>
      </c>
      <c r="G144" s="1" t="s">
        <v>72</v>
      </c>
      <c r="H144" s="1">
        <v>0.9541197</v>
      </c>
      <c r="I144" s="1" t="s">
        <v>274</v>
      </c>
    </row>
    <row r="145">
      <c r="A145" s="2" t="str">
        <f>HYPERLINK("https://ui.adsabs.harvard.edu/abs/2023JAtS...80...49A/abstract","2023JAtS...80...49A")</f>
        <v>2023JAtS...80...49A</v>
      </c>
      <c r="E145" s="2" t="str">
        <f>HYPERLINK("https://ui.adsabs.harvard.edu/abs/2021arXiv211206783A/abstract","2021arXiv211206783A")</f>
        <v>2021arXiv211206783A</v>
      </c>
      <c r="F145" s="1" t="s">
        <v>275</v>
      </c>
      <c r="G145" s="1" t="s">
        <v>72</v>
      </c>
      <c r="H145" s="1">
        <v>0.9550457</v>
      </c>
      <c r="I145" s="1" t="s">
        <v>276</v>
      </c>
    </row>
    <row r="146">
      <c r="A146" s="2" t="str">
        <f>HYPERLINK("https://ui.adsabs.harvard.edu/abs/2023QuIP...22...63D/abstract","2023QuIP...22...63D")</f>
        <v>2023QuIP...22...63D</v>
      </c>
      <c r="E146" s="2" t="str">
        <f>HYPERLINK("https://ui.adsabs.harvard.edu/abs/2022arXiv220500075F/abstract","2022arXiv220500075F")</f>
        <v>2022arXiv220500075F</v>
      </c>
      <c r="F146" s="1" t="s">
        <v>277</v>
      </c>
      <c r="G146" s="1" t="s">
        <v>72</v>
      </c>
      <c r="H146" s="1">
        <v>0.9563309</v>
      </c>
      <c r="I146" s="1" t="s">
        <v>278</v>
      </c>
    </row>
    <row r="147">
      <c r="A147" s="2" t="str">
        <f>HYPERLINK("https://ui.adsabs.harvard.edu/abs/2023PhRvB.107b0406G/abstract","2023PhRvB.107b0406G")</f>
        <v>2023PhRvB.107b0406G</v>
      </c>
      <c r="B147" s="2" t="str">
        <f>HYPERLINK("https://ui.adsabs.harvard.edu/abs/2022arXiv220805746G/abstract","2022arXiv220805746G")</f>
        <v>2022arXiv220805746G</v>
      </c>
      <c r="C147" s="1" t="s">
        <v>70</v>
      </c>
      <c r="E147" s="2" t="str">
        <f>HYPERLINK("https://ui.adsabs.harvard.edu/abs/2022arXiv220805746G/abstract","2022arXiv220805746G")</f>
        <v>2022arXiv220805746G</v>
      </c>
      <c r="F147" s="1" t="s">
        <v>279</v>
      </c>
      <c r="G147" s="1" t="s">
        <v>72</v>
      </c>
      <c r="H147" s="1">
        <v>0.9563309</v>
      </c>
      <c r="I147" s="1" t="s">
        <v>278</v>
      </c>
    </row>
    <row r="148">
      <c r="A148" s="2" t="str">
        <f>HYPERLINK("https://ui.adsabs.harvard.edu/abs/2023PhRvX..13a1006G/abstract","2023PhRvX..13a1006G")</f>
        <v>2023PhRvX..13a1006G</v>
      </c>
      <c r="B148" s="2" t="str">
        <f>HYPERLINK("https://ui.adsabs.harvard.edu/abs/2022arXiv220804240G/abstract","2022arXiv220804240G")</f>
        <v>2022arXiv220804240G</v>
      </c>
      <c r="C148" s="1" t="s">
        <v>70</v>
      </c>
      <c r="E148" s="2" t="str">
        <f>HYPERLINK("https://ui.adsabs.harvard.edu/abs/2022arXiv220804240G/abstract","2022arXiv220804240G")</f>
        <v>2022arXiv220804240G</v>
      </c>
      <c r="F148" s="1" t="s">
        <v>280</v>
      </c>
      <c r="G148" s="1" t="s">
        <v>72</v>
      </c>
      <c r="H148" s="1">
        <v>0.9583506</v>
      </c>
      <c r="I148" s="1" t="s">
        <v>281</v>
      </c>
    </row>
    <row r="149">
      <c r="A149" s="2" t="str">
        <f>HYPERLINK("https://ui.adsabs.harvard.edu/abs/2023PhRvL.130c6801K/abstract","2023PhRvL.130c6801K")</f>
        <v>2023PhRvL.130c6801K</v>
      </c>
      <c r="B149" s="2" t="str">
        <f>HYPERLINK("https://ui.adsabs.harvard.edu/abs/2023arXiv230103292K/abstract","2023arXiv230103292K")</f>
        <v>2023arXiv230103292K</v>
      </c>
      <c r="C149" s="1" t="s">
        <v>70</v>
      </c>
      <c r="E149" s="2" t="str">
        <f>HYPERLINK("https://ui.adsabs.harvard.edu/abs/2023arXiv230103292K/abstract","2023arXiv230103292K")</f>
        <v>2023arXiv230103292K</v>
      </c>
      <c r="F149" s="1" t="s">
        <v>282</v>
      </c>
      <c r="G149" s="1" t="s">
        <v>72</v>
      </c>
      <c r="H149" s="1">
        <v>0.9587982</v>
      </c>
      <c r="I149" s="1" t="s">
        <v>283</v>
      </c>
    </row>
    <row r="150">
      <c r="A150" s="2" t="str">
        <f>HYPERLINK("https://ui.adsabs.harvard.edu/abs/2023CMaPh.tmp...19C/abstract","2023CMaPh.tmp...19C")</f>
        <v>2023CMaPh.tmp...19C</v>
      </c>
      <c r="E150" s="2" t="str">
        <f>HYPERLINK("https://ui.adsabs.harvard.edu/abs/2021arXiv211103529C/abstract","2021arXiv211103529C")</f>
        <v>2021arXiv211103529C</v>
      </c>
      <c r="F150" s="1" t="s">
        <v>284</v>
      </c>
      <c r="G150" s="1" t="s">
        <v>72</v>
      </c>
      <c r="H150" s="1">
        <v>0.9589102</v>
      </c>
      <c r="I150" s="1" t="s">
        <v>285</v>
      </c>
    </row>
    <row r="151">
      <c r="A151" s="2" t="str">
        <f>HYPERLINK("https://ui.adsabs.harvard.edu/abs/2022AIHPC..39.1413D/abstract","2022AIHPC..39.1413D")</f>
        <v>2022AIHPC..39.1413D</v>
      </c>
      <c r="C151" s="1" t="s">
        <v>12</v>
      </c>
      <c r="E151" s="2" t="str">
        <f>HYPERLINK("https://ui.adsabs.harvard.edu/abs/2019arXiv191109111D/abstract","2019arXiv191109111D")</f>
        <v>2019arXiv191109111D</v>
      </c>
      <c r="F151" s="1" t="s">
        <v>286</v>
      </c>
      <c r="G151" s="1" t="s">
        <v>72</v>
      </c>
      <c r="H151" s="1">
        <v>0.9592487</v>
      </c>
      <c r="I151" s="1" t="s">
        <v>287</v>
      </c>
    </row>
    <row r="152">
      <c r="A152" s="2" t="str">
        <f>HYPERLINK("https://ui.adsabs.harvard.edu/abs/2023PhRvP..19a4058M/abstract","2023PhRvP..19a4058M")</f>
        <v>2023PhRvP..19a4058M</v>
      </c>
      <c r="E152" s="2" t="str">
        <f>HYPERLINK("https://ui.adsabs.harvard.edu/abs/2022arXiv220213952T/abstract","2022arXiv220213952T")</f>
        <v>2022arXiv220213952T</v>
      </c>
      <c r="F152" s="1" t="s">
        <v>288</v>
      </c>
      <c r="G152" s="1" t="s">
        <v>72</v>
      </c>
      <c r="H152" s="1">
        <v>0.9608529</v>
      </c>
      <c r="I152" s="1" t="s">
        <v>289</v>
      </c>
    </row>
    <row r="153">
      <c r="A153" s="2" t="str">
        <f>HYPERLINK("https://ui.adsabs.harvard.edu/abs/2023PhyS...98b5104D/abstract","2023PhyS...98b5104D")</f>
        <v>2023PhyS...98b5104D</v>
      </c>
      <c r="E153" s="2" t="str">
        <f>HYPERLINK("https://ui.adsabs.harvard.edu/abs/2021arXiv211101563D/abstract","2021arXiv211101563D")</f>
        <v>2021arXiv211101563D</v>
      </c>
      <c r="F153" s="1" t="s">
        <v>290</v>
      </c>
      <c r="G153" s="1" t="s">
        <v>72</v>
      </c>
      <c r="H153" s="1">
        <v>0.9609757</v>
      </c>
      <c r="I153" s="1" t="s">
        <v>291</v>
      </c>
    </row>
    <row r="154">
      <c r="A154" s="2" t="str">
        <f>HYPERLINK("https://ui.adsabs.harvard.edu/abs/2023PhRvC.107a4612G/abstract","2023PhRvC.107a4612G")</f>
        <v>2023PhRvC.107a4612G</v>
      </c>
      <c r="B154" s="2" t="str">
        <f>HYPERLINK("https://ui.adsabs.harvard.edu/abs/2022arXiv220702743G/abstract","2022arXiv220702743G")</f>
        <v>2022arXiv220702743G</v>
      </c>
      <c r="C154" s="1" t="s">
        <v>70</v>
      </c>
      <c r="E154" s="2" t="str">
        <f>HYPERLINK("https://ui.adsabs.harvard.edu/abs/2022arXiv220702743G/abstract","2022arXiv220702743G")</f>
        <v>2022arXiv220702743G</v>
      </c>
      <c r="F154" s="1" t="s">
        <v>292</v>
      </c>
      <c r="G154" s="1" t="s">
        <v>72</v>
      </c>
      <c r="H154" s="1">
        <v>0.9610355</v>
      </c>
      <c r="I154" s="1" t="s">
        <v>293</v>
      </c>
    </row>
    <row r="155">
      <c r="A155" s="2" t="str">
        <f>HYPERLINK("https://ui.adsabs.harvard.edu/abs/2023PhRvD.107b3523C/abstract","2023PhRvD.107b3523C")</f>
        <v>2023PhRvD.107b3523C</v>
      </c>
      <c r="B155" s="2" t="str">
        <f>HYPERLINK("https://ui.adsabs.harvard.edu/abs/2022arXiv221016320C/abstract","2022arXiv221016320C")</f>
        <v>2022arXiv221016320C</v>
      </c>
      <c r="C155" s="1" t="s">
        <v>70</v>
      </c>
      <c r="E155" s="2" t="str">
        <f>HYPERLINK("https://ui.adsabs.harvard.edu/abs/2022arXiv221016320C/abstract","2022arXiv221016320C")</f>
        <v>2022arXiv221016320C</v>
      </c>
      <c r="F155" s="1" t="s">
        <v>294</v>
      </c>
      <c r="G155" s="1" t="s">
        <v>72</v>
      </c>
      <c r="H155" s="1">
        <v>0.9610355</v>
      </c>
      <c r="I155" s="1" t="s">
        <v>293</v>
      </c>
    </row>
    <row r="156">
      <c r="A156" s="2" t="str">
        <f>HYPERLINK("https://ui.adsabs.harvard.edu/abs/2023npjQM...8....1L/abstract","2023npjQM...8....1L")</f>
        <v>2023npjQM...8....1L</v>
      </c>
      <c r="E156" s="2" t="str">
        <f>HYPERLINK("https://ui.adsabs.harvard.edu/abs/2021arXiv211210036L/abstract","2021arXiv211210036L")</f>
        <v>2021arXiv211210036L</v>
      </c>
      <c r="F156" s="1" t="s">
        <v>295</v>
      </c>
      <c r="G156" s="1" t="s">
        <v>72</v>
      </c>
      <c r="H156" s="1">
        <v>0.9612599</v>
      </c>
      <c r="I156" s="1" t="s">
        <v>296</v>
      </c>
    </row>
    <row r="157">
      <c r="A157" s="2" t="str">
        <f>HYPERLINK("https://ui.adsabs.harvard.edu/abs/2023Ap&amp;SS.368....5S/abstract","2023Ap&amp;SS.368....5S")</f>
        <v>2023Ap&amp;SS.368....5S</v>
      </c>
      <c r="E157" s="2" t="str">
        <f>HYPERLINK("https://ui.adsabs.harvard.edu/abs/2022arXiv220110258O/abstract","2022arXiv220110258O")</f>
        <v>2022arXiv220110258O</v>
      </c>
      <c r="F157" s="1" t="s">
        <v>297</v>
      </c>
      <c r="G157" s="1" t="s">
        <v>72</v>
      </c>
      <c r="H157" s="1">
        <v>0.9614252</v>
      </c>
      <c r="I157" s="1" t="s">
        <v>298</v>
      </c>
    </row>
    <row r="158">
      <c r="A158" s="2" t="str">
        <f>HYPERLINK("https://ui.adsabs.harvard.edu/abs/2023PhFl...35a1706G/abstract","2023PhFl...35a1706G")</f>
        <v>2023PhFl...35a1706G</v>
      </c>
      <c r="E158" s="2" t="str">
        <f>HYPERLINK("https://ui.adsabs.harvard.edu/abs/2022arXiv221013426G/abstract","2022arXiv221013426G")</f>
        <v>2022arXiv221013426G</v>
      </c>
      <c r="F158" s="1" t="s">
        <v>299</v>
      </c>
      <c r="G158" s="1" t="s">
        <v>72</v>
      </c>
      <c r="H158" s="1">
        <v>0.9622514</v>
      </c>
      <c r="I158" s="1" t="s">
        <v>300</v>
      </c>
    </row>
    <row r="159">
      <c r="A159" s="2" t="str">
        <f>HYPERLINK("https://ui.adsabs.harvard.edu/abs/2023PhRvR...5a3027Y/abstract","2023PhRvR...5a3027Y")</f>
        <v>2023PhRvR...5a3027Y</v>
      </c>
      <c r="E159" s="2" t="str">
        <f>HYPERLINK("https://ui.adsabs.harvard.edu/abs/2021arXiv211207177Y/abstract","2021arXiv211207177Y")</f>
        <v>2021arXiv211207177Y</v>
      </c>
      <c r="F159" s="1" t="s">
        <v>301</v>
      </c>
      <c r="G159" s="1" t="s">
        <v>72</v>
      </c>
      <c r="H159" s="1">
        <v>0.9624267</v>
      </c>
      <c r="I159" s="1" t="s">
        <v>302</v>
      </c>
    </row>
    <row r="160">
      <c r="A160" s="2" t="str">
        <f>HYPERLINK("https://ui.adsabs.harvard.edu/abs/2023PhRvB.107d1201H/abstract","2023PhRvB.107d1201H")</f>
        <v>2023PhRvB.107d1201H</v>
      </c>
      <c r="B160" s="2" t="str">
        <f>HYPERLINK("https://ui.adsabs.harvard.edu/abs/2023arXiv230101883H/abstract","2023arXiv230101883H")</f>
        <v>2023arXiv230101883H</v>
      </c>
      <c r="C160" s="1" t="s">
        <v>70</v>
      </c>
      <c r="E160" s="2" t="str">
        <f>HYPERLINK("https://ui.adsabs.harvard.edu/abs/2023arXiv230101883H/abstract","2023arXiv230101883H")</f>
        <v>2023arXiv230101883H</v>
      </c>
      <c r="F160" s="1" t="s">
        <v>303</v>
      </c>
      <c r="G160" s="1" t="s">
        <v>72</v>
      </c>
      <c r="H160" s="1">
        <v>0.963225</v>
      </c>
      <c r="I160" s="1" t="s">
        <v>304</v>
      </c>
    </row>
    <row r="161">
      <c r="A161" s="2" t="str">
        <f>HYPERLINK("https://ui.adsabs.harvard.edu/abs/2023CQGra..40d5001E/abstract","2023CQGra..40d5001E")</f>
        <v>2023CQGra..40d5001E</v>
      </c>
      <c r="B161" s="2" t="str">
        <f>HYPERLINK("https://ui.adsabs.harvard.edu/abs/2022arXiv220805506E/abstract","2022arXiv220805506E")</f>
        <v>2022arXiv220805506E</v>
      </c>
      <c r="C161" s="1" t="s">
        <v>70</v>
      </c>
      <c r="E161" s="2" t="str">
        <f>HYPERLINK("https://ui.adsabs.harvard.edu/abs/2022arXiv220805506E/abstract","2022arXiv220805506E")</f>
        <v>2022arXiv220805506E</v>
      </c>
      <c r="F161" s="1" t="s">
        <v>305</v>
      </c>
      <c r="G161" s="1" t="s">
        <v>72</v>
      </c>
      <c r="H161" s="1">
        <v>0.9632937</v>
      </c>
      <c r="I161" s="1" t="s">
        <v>306</v>
      </c>
    </row>
    <row r="162">
      <c r="A162" s="2" t="str">
        <f>HYPERLINK("https://ui.adsabs.harvard.edu/abs/2023QS&amp;T....8b5003S/abstract","2023QS&amp;T....8b5003S")</f>
        <v>2023QS&amp;T....8b5003S</v>
      </c>
      <c r="E162" s="2" t="str">
        <f>HYPERLINK("https://ui.adsabs.harvard.edu/abs/2021arXiv211007545S/abstract","2021arXiv211007545S")</f>
        <v>2021arXiv211007545S</v>
      </c>
      <c r="F162" s="1" t="s">
        <v>307</v>
      </c>
      <c r="G162" s="1" t="s">
        <v>72</v>
      </c>
      <c r="H162" s="1">
        <v>0.9633701</v>
      </c>
      <c r="I162" s="1" t="s">
        <v>308</v>
      </c>
    </row>
    <row r="163">
      <c r="A163" s="2" t="str">
        <f>HYPERLINK("https://ui.adsabs.harvard.edu/abs/2023E&amp;ES.1136a2018N/abstract","2023E&amp;ES.1136a2018N")</f>
        <v>2023E&amp;ES.1136a2018N</v>
      </c>
      <c r="E163" s="2" t="str">
        <f>HYPERLINK("https://ui.adsabs.harvard.edu/abs/2022arXiv220508471N/abstract","2022arXiv220508471N")</f>
        <v>2022arXiv220508471N</v>
      </c>
      <c r="F163" s="1" t="s">
        <v>309</v>
      </c>
      <c r="G163" s="1" t="s">
        <v>72</v>
      </c>
      <c r="H163" s="1">
        <v>0.9636194</v>
      </c>
      <c r="I163" s="1" t="s">
        <v>310</v>
      </c>
    </row>
    <row r="164">
      <c r="A164" s="2" t="str">
        <f>HYPERLINK("https://ui.adsabs.harvard.edu/abs/2023PhRvB.107d1106L/abstract","2023PhRvB.107d1106L")</f>
        <v>2023PhRvB.107d1106L</v>
      </c>
      <c r="B164" s="2" t="str">
        <f>HYPERLINK("https://ui.adsabs.harvard.edu/abs/2022arXiv221106852L/abstract","2022arXiv221106852L")</f>
        <v>2022arXiv221106852L</v>
      </c>
      <c r="C164" s="1" t="s">
        <v>70</v>
      </c>
      <c r="E164" s="2" t="str">
        <f>HYPERLINK("https://ui.adsabs.harvard.edu/abs/2022arXiv221106852L/abstract","2022arXiv221106852L")</f>
        <v>2022arXiv221106852L</v>
      </c>
      <c r="F164" s="1" t="s">
        <v>311</v>
      </c>
      <c r="G164" s="1" t="s">
        <v>72</v>
      </c>
      <c r="H164" s="1">
        <v>0.9642413</v>
      </c>
      <c r="I164" s="1" t="s">
        <v>312</v>
      </c>
    </row>
    <row r="165">
      <c r="A165" s="2" t="str">
        <f>HYPERLINK("https://ui.adsabs.harvard.edu/abs/2023JHEP...01..044L/abstract","2023JHEP...01..044L")</f>
        <v>2023JHEP...01..044L</v>
      </c>
      <c r="E165" s="2" t="str">
        <f>HYPERLINK("https://ui.adsabs.harvard.edu/abs/2022arXiv221012065G/abstract","2022arXiv221012065G")</f>
        <v>2022arXiv221012065G</v>
      </c>
      <c r="F165" s="1" t="s">
        <v>313</v>
      </c>
      <c r="G165" s="1" t="s">
        <v>72</v>
      </c>
      <c r="H165" s="1">
        <v>0.964308</v>
      </c>
      <c r="I165" s="1" t="s">
        <v>314</v>
      </c>
    </row>
    <row r="166">
      <c r="A166" s="2" t="str">
        <f>HYPERLINK("https://ui.adsabs.harvard.edu/abs/2023NIMPA104968041A/abstract","2023NIMPA104968041A")</f>
        <v>2023NIMPA104968041A</v>
      </c>
      <c r="E166" s="2" t="str">
        <f>HYPERLINK("https://ui.adsabs.harvard.edu/abs/2021arXiv211209470A/abstract","2021arXiv211209470A")</f>
        <v>2021arXiv211209470A</v>
      </c>
      <c r="F166" s="1" t="s">
        <v>315</v>
      </c>
      <c r="G166" s="1" t="s">
        <v>72</v>
      </c>
      <c r="H166" s="1">
        <v>0.9645813</v>
      </c>
      <c r="I166" s="1" t="s">
        <v>316</v>
      </c>
    </row>
    <row r="167">
      <c r="A167" s="2" t="str">
        <f>HYPERLINK("https://ui.adsabs.harvard.edu/abs/2023PatRe.13709308G/abstract","2023PatRe.13709308G")</f>
        <v>2023PatRe.13709308G</v>
      </c>
      <c r="E167" s="2" t="str">
        <f>HYPERLINK("https://ui.adsabs.harvard.edu/abs/2021arXiv210109617G/abstract","2021arXiv210109617G")</f>
        <v>2021arXiv210109617G</v>
      </c>
      <c r="F167" s="1" t="s">
        <v>317</v>
      </c>
      <c r="G167" s="1" t="s">
        <v>72</v>
      </c>
      <c r="H167" s="1">
        <v>0.9648117</v>
      </c>
      <c r="I167" s="1" t="s">
        <v>318</v>
      </c>
    </row>
    <row r="168">
      <c r="A168" s="2" t="str">
        <f>HYPERLINK("https://ui.adsabs.harvard.edu/abs/2023PhRvE.107a5104Z/abstract","2023PhRvE.107a5104Z")</f>
        <v>2023PhRvE.107a5104Z</v>
      </c>
      <c r="E168" s="2" t="str">
        <f>HYPERLINK("https://ui.adsabs.harvard.edu/abs/2021arXiv210800413Z/abstract","2021arXiv210800413Z")</f>
        <v>2021arXiv210800413Z</v>
      </c>
      <c r="F168" s="1" t="s">
        <v>319</v>
      </c>
      <c r="G168" s="1" t="s">
        <v>72</v>
      </c>
      <c r="H168" s="1">
        <v>0.9648117</v>
      </c>
      <c r="I168" s="1" t="s">
        <v>318</v>
      </c>
    </row>
    <row r="169">
      <c r="A169" s="2" t="str">
        <f>HYPERLINK("https://ui.adsabs.harvard.edu/abs/2023IJNME.124..979S/abstract","2023IJNME.124..979S")</f>
        <v>2023IJNME.124..979S</v>
      </c>
      <c r="B169" s="2" t="str">
        <f>HYPERLINK("https://ui.adsabs.harvard.edu/abs/2022arXiv220400371S/abstract","2022arXiv220400371S")</f>
        <v>2022arXiv220400371S</v>
      </c>
      <c r="C169" s="1" t="s">
        <v>70</v>
      </c>
      <c r="E169" s="2" t="str">
        <f>HYPERLINK("https://ui.adsabs.harvard.edu/abs/2022arXiv220400371S/abstract","2022arXiv220400371S")</f>
        <v>2022arXiv220400371S</v>
      </c>
      <c r="G169" s="1" t="s">
        <v>72</v>
      </c>
      <c r="H169" s="1">
        <v>0.9650914</v>
      </c>
      <c r="I169" s="1" t="s">
        <v>320</v>
      </c>
    </row>
    <row r="170">
      <c r="A170" s="2" t="str">
        <f>HYPERLINK("https://ui.adsabs.harvard.edu/abs/2023JHEP...01..041B/abstract","2023JHEP...01..041B")</f>
        <v>2023JHEP...01..041B</v>
      </c>
      <c r="B170" s="2" t="str">
        <f>HYPERLINK("https://ui.adsabs.harvard.edu/abs/2022arXiv220611305B/abstract","2022arXiv220611305B")</f>
        <v>2022arXiv220611305B</v>
      </c>
      <c r="C170" s="1" t="s">
        <v>70</v>
      </c>
      <c r="E170" s="2" t="str">
        <f>HYPERLINK("https://ui.adsabs.harvard.edu/abs/2022arXiv220611305B/abstract","2022arXiv220611305B")</f>
        <v>2022arXiv220611305B</v>
      </c>
      <c r="F170" s="1" t="s">
        <v>321</v>
      </c>
      <c r="G170" s="1" t="s">
        <v>72</v>
      </c>
      <c r="H170" s="1">
        <v>0.9652308</v>
      </c>
      <c r="I170" s="1" t="s">
        <v>322</v>
      </c>
    </row>
    <row r="171">
      <c r="A171" s="2" t="str">
        <f>HYPERLINK("https://ui.adsabs.harvard.edu/abs/2023JHEP...01..073E/abstract","2023JHEP...01..073E")</f>
        <v>2023JHEP...01..073E</v>
      </c>
      <c r="B171" s="2" t="str">
        <f>HYPERLINK("https://ui.adsabs.harvard.edu/abs/2022arXiv221016523E/abstract","2022arXiv221016523E")</f>
        <v>2022arXiv221016523E</v>
      </c>
      <c r="C171" s="1" t="s">
        <v>70</v>
      </c>
      <c r="E171" s="2" t="str">
        <f>HYPERLINK("https://ui.adsabs.harvard.edu/abs/2022arXiv221016523E/abstract","2022arXiv221016523E")</f>
        <v>2022arXiv221016523E</v>
      </c>
      <c r="F171" s="1" t="s">
        <v>323</v>
      </c>
      <c r="G171" s="1" t="s">
        <v>72</v>
      </c>
      <c r="H171" s="1">
        <v>0.9652308</v>
      </c>
      <c r="I171" s="1" t="s">
        <v>322</v>
      </c>
    </row>
    <row r="172">
      <c r="A172" s="2" t="str">
        <f>HYPERLINK("https://ui.adsabs.harvard.edu/abs/2023PhRvA.107a2816G/abstract","2023PhRvA.107a2816G")</f>
        <v>2023PhRvA.107a2816G</v>
      </c>
      <c r="E172" s="2" t="str">
        <f>HYPERLINK("https://ui.adsabs.harvard.edu/abs/2022arXiv220904428G/abstract","2022arXiv220904428G")</f>
        <v>2022arXiv220904428G</v>
      </c>
      <c r="F172" s="1" t="s">
        <v>324</v>
      </c>
      <c r="G172" s="1" t="s">
        <v>72</v>
      </c>
      <c r="H172" s="1">
        <v>0.9652958</v>
      </c>
      <c r="I172" s="1" t="s">
        <v>325</v>
      </c>
    </row>
    <row r="173">
      <c r="A173" s="2" t="str">
        <f>HYPERLINK("https://ui.adsabs.harvard.edu/abs/2023EPJC...83...29F/abstract","2023EPJC...83...29F")</f>
        <v>2023EPJC...83...29F</v>
      </c>
      <c r="B173" s="2" t="str">
        <f>HYPERLINK("https://ui.adsabs.harvard.edu/abs/2022arXiv220812048F/abstract","2022arXiv220812048F")</f>
        <v>2022arXiv220812048F</v>
      </c>
      <c r="C173" s="1" t="s">
        <v>70</v>
      </c>
      <c r="E173" s="2" t="str">
        <f>HYPERLINK("https://ui.adsabs.harvard.edu/abs/2022arXiv220812048F/abstract","2022arXiv220812048F")</f>
        <v>2022arXiv220812048F</v>
      </c>
      <c r="F173" s="1" t="s">
        <v>326</v>
      </c>
      <c r="G173" s="1" t="s">
        <v>72</v>
      </c>
      <c r="H173" s="1">
        <v>0.9662569</v>
      </c>
      <c r="I173" s="1" t="s">
        <v>327</v>
      </c>
    </row>
    <row r="174">
      <c r="A174" s="2" t="str">
        <f>HYPERLINK("https://ui.adsabs.harvard.edu/abs/2023PhRvR...5a2005W/abstract","2023PhRvR...5a2005W")</f>
        <v>2023PhRvR...5a2005W</v>
      </c>
      <c r="E174" s="2" t="str">
        <f>HYPERLINK("https://ui.adsabs.harvard.edu/abs/2021arXiv211014570W/abstract","2021arXiv211014570W")</f>
        <v>2021arXiv211014570W</v>
      </c>
      <c r="F174" s="1" t="s">
        <v>328</v>
      </c>
      <c r="G174" s="1" t="s">
        <v>72</v>
      </c>
      <c r="H174" s="1">
        <v>0.9663718</v>
      </c>
      <c r="I174" s="1" t="s">
        <v>329</v>
      </c>
    </row>
    <row r="175">
      <c r="A175" s="2" t="str">
        <f>HYPERLINK("https://ui.adsabs.harvard.edu/abs/2023PhRvA.107a3714S/abstract","2023PhRvA.107a3714S")</f>
        <v>2023PhRvA.107a3714S</v>
      </c>
      <c r="B175" s="2" t="str">
        <f>HYPERLINK("https://ui.adsabs.harvard.edu/abs/2022arXiv220704191S/abstract","2022arXiv220704191S")</f>
        <v>2022arXiv220704191S</v>
      </c>
      <c r="C175" s="1" t="s">
        <v>70</v>
      </c>
      <c r="E175" s="2" t="str">
        <f>HYPERLINK("https://ui.adsabs.harvard.edu/abs/2022arXiv220704191S/abstract","2022arXiv220704191S")</f>
        <v>2022arXiv220704191S</v>
      </c>
      <c r="F175" s="1" t="s">
        <v>330</v>
      </c>
      <c r="G175" s="1" t="s">
        <v>72</v>
      </c>
      <c r="H175" s="1">
        <v>0.9671924</v>
      </c>
      <c r="I175" s="1" t="s">
        <v>331</v>
      </c>
    </row>
    <row r="176">
      <c r="A176" s="2" t="str">
        <f>HYPERLINK("https://ui.adsabs.harvard.edu/abs/2023PhRvP..19a4059O/abstract","2023PhRvP..19a4059O")</f>
        <v>2023PhRvP..19a4059O</v>
      </c>
      <c r="E176" s="2" t="str">
        <f>HYPERLINK("https://ui.adsabs.harvard.edu/abs/2021arXiv211101020O/abstract","2021arXiv211101020O")</f>
        <v>2021arXiv211101020O</v>
      </c>
      <c r="F176" s="1" t="s">
        <v>332</v>
      </c>
      <c r="G176" s="1" t="s">
        <v>72</v>
      </c>
      <c r="H176" s="1">
        <v>0.967865</v>
      </c>
      <c r="I176" s="1" t="s">
        <v>333</v>
      </c>
    </row>
    <row r="177">
      <c r="A177" s="2" t="str">
        <f>HYPERLINK("https://ui.adsabs.harvard.edu/abs/2023CMaPh.tmp...18H/abstract","2023CMaPh.tmp...18H")</f>
        <v>2023CMaPh.tmp...18H</v>
      </c>
      <c r="E177" s="2" t="str">
        <f>HYPERLINK("https://ui.adsabs.harvard.edu/abs/2021arXiv211213390H/abstract","2021arXiv211213390H")</f>
        <v>2021arXiv211213390H</v>
      </c>
      <c r="F177" s="1" t="s">
        <v>334</v>
      </c>
      <c r="G177" s="1" t="s">
        <v>72</v>
      </c>
      <c r="H177" s="1">
        <v>0.9680746</v>
      </c>
      <c r="I177" s="1" t="s">
        <v>335</v>
      </c>
    </row>
    <row r="178">
      <c r="A178" s="2" t="str">
        <f>HYPERLINK("https://ui.adsabs.harvard.edu/abs/2023JHEP...01..038C/abstract","2023JHEP...01..038C")</f>
        <v>2023JHEP...01..038C</v>
      </c>
      <c r="E178" s="2" t="str">
        <f>HYPERLINK("https://ui.adsabs.harvard.edu/abs/2021arXiv211107989C/abstract","2021arXiv211107989C")</f>
        <v>2021arXiv211107989C</v>
      </c>
      <c r="F178" s="1" t="s">
        <v>336</v>
      </c>
      <c r="G178" s="1" t="s">
        <v>72</v>
      </c>
      <c r="H178" s="1">
        <v>0.9680746</v>
      </c>
      <c r="I178" s="1" t="s">
        <v>335</v>
      </c>
    </row>
    <row r="179">
      <c r="A179" s="2" t="str">
        <f>HYPERLINK("https://ui.adsabs.harvard.edu/abs/2023JDE...353...63W/abstract","2023JDE...353...63W")</f>
        <v>2023JDE...353...63W</v>
      </c>
      <c r="E179" s="2" t="str">
        <f>HYPERLINK("https://ui.adsabs.harvard.edu/abs/2021arXiv210608517W/abstract","2021arXiv210608517W")</f>
        <v>2021arXiv210608517W</v>
      </c>
      <c r="F179" s="1" t="s">
        <v>337</v>
      </c>
      <c r="G179" s="1" t="s">
        <v>72</v>
      </c>
      <c r="H179" s="1">
        <v>0.9680746</v>
      </c>
      <c r="I179" s="1" t="s">
        <v>335</v>
      </c>
    </row>
    <row r="180">
      <c r="A180" s="2" t="str">
        <f>HYPERLINK("https://ui.adsabs.harvard.edu/abs/2023PhRvB.107d5129L/abstract","2023PhRvB.107d5129L")</f>
        <v>2023PhRvB.107d5129L</v>
      </c>
      <c r="E180" s="2" t="str">
        <f>HYPERLINK("https://ui.adsabs.harvard.edu/abs/2021arXiv210802211L/abstract","2021arXiv210802211L")</f>
        <v>2021arXiv210802211L</v>
      </c>
      <c r="F180" s="1" t="s">
        <v>338</v>
      </c>
      <c r="G180" s="1" t="s">
        <v>72</v>
      </c>
      <c r="H180" s="1">
        <v>0.9680746</v>
      </c>
      <c r="I180" s="1" t="s">
        <v>335</v>
      </c>
    </row>
    <row r="181">
      <c r="A181" s="2" t="str">
        <f>HYPERLINK("https://ui.adsabs.harvard.edu/abs/2023QuIP...22...66I/abstract","2023QuIP...22...66I")</f>
        <v>2023QuIP...22...66I</v>
      </c>
      <c r="B181" s="2" t="str">
        <f>HYPERLINK("https://ui.adsabs.harvard.edu/abs/2022arXiv220705435I/abstract","2022arXiv220705435I")</f>
        <v>2022arXiv220705435I</v>
      </c>
      <c r="C181" s="1" t="s">
        <v>70</v>
      </c>
      <c r="E181" s="2" t="str">
        <f>HYPERLINK("https://ui.adsabs.harvard.edu/abs/2022arXiv220705435I/abstract","2022arXiv220705435I")</f>
        <v>2022arXiv220705435I</v>
      </c>
      <c r="F181" s="1" t="s">
        <v>339</v>
      </c>
      <c r="G181" s="1" t="s">
        <v>72</v>
      </c>
      <c r="H181" s="1">
        <v>0.9689887</v>
      </c>
      <c r="I181" s="1" t="s">
        <v>340</v>
      </c>
    </row>
    <row r="182">
      <c r="A182" s="2" t="str">
        <f>HYPERLINK("https://ui.adsabs.harvard.edu/abs/2023JHEP...01..023B/abstract","2023JHEP...01..023B")</f>
        <v>2023JHEP...01..023B</v>
      </c>
      <c r="B182" s="2" t="str">
        <f>HYPERLINK("https://ui.adsabs.harvard.edu/abs/2022arXiv221006490B/abstract","2022arXiv221006490B")</f>
        <v>2022arXiv221006490B</v>
      </c>
      <c r="C182" s="1" t="s">
        <v>70</v>
      </c>
      <c r="E182" s="2" t="str">
        <f>HYPERLINK("https://ui.adsabs.harvard.edu/abs/2022arXiv221006490B/abstract","2022arXiv221006490B")</f>
        <v>2022arXiv221006490B</v>
      </c>
      <c r="F182" s="1" t="s">
        <v>341</v>
      </c>
      <c r="G182" s="1" t="s">
        <v>72</v>
      </c>
      <c r="H182" s="1">
        <v>0.9689887</v>
      </c>
      <c r="I182" s="1" t="s">
        <v>340</v>
      </c>
    </row>
    <row r="183">
      <c r="A183" s="2" t="str">
        <f>HYPERLINK("https://ui.adsabs.harvard.edu/abs/2023PhRvD.107b3522A/abstract","2023PhRvD.107b3522A")</f>
        <v>2023PhRvD.107b3522A</v>
      </c>
      <c r="E183" s="2" t="str">
        <f>HYPERLINK("https://ui.adsabs.harvard.edu/abs/2022arXiv220814857A/abstract","2022arXiv220814857A")</f>
        <v>2022arXiv220814857A</v>
      </c>
      <c r="F183" s="1" t="s">
        <v>342</v>
      </c>
      <c r="G183" s="1" t="s">
        <v>72</v>
      </c>
      <c r="H183" s="1">
        <v>0.9689887</v>
      </c>
      <c r="I183" s="1" t="s">
        <v>340</v>
      </c>
    </row>
    <row r="184">
      <c r="A184" s="2" t="str">
        <f>HYPERLINK("https://ui.adsabs.harvard.edu/abs/2023PhRvA.107a2421J/abstract","2023PhRvA.107a2421J")</f>
        <v>2023PhRvA.107a2421J</v>
      </c>
      <c r="B184" s="2" t="str">
        <f>HYPERLINK("https://ui.adsabs.harvard.edu/abs/2022arXiv220800930J/abstract","2022arXiv220800930J")</f>
        <v>2022arXiv220800930J</v>
      </c>
      <c r="C184" s="1" t="s">
        <v>70</v>
      </c>
      <c r="E184" s="2" t="str">
        <f>HYPERLINK("https://ui.adsabs.harvard.edu/abs/2022arXiv220800930J/abstract","2022arXiv220800930J")</f>
        <v>2022arXiv220800930J</v>
      </c>
      <c r="F184" s="1" t="s">
        <v>343</v>
      </c>
      <c r="G184" s="1" t="s">
        <v>72</v>
      </c>
      <c r="H184" s="1">
        <v>0.969047</v>
      </c>
      <c r="I184" s="1" t="s">
        <v>344</v>
      </c>
    </row>
    <row r="185">
      <c r="A185" s="2" t="str">
        <f>HYPERLINK("https://ui.adsabs.harvard.edu/abs/2023Parti...6..121C/abstract","2023Parti...6..121C")</f>
        <v>2023Parti...6..121C</v>
      </c>
      <c r="B185" s="2" t="str">
        <f>HYPERLINK("https://ui.adsabs.harvard.edu/abs/2022arXiv220814076C/abstract","2022arXiv220814076C")</f>
        <v>2022arXiv220814076C</v>
      </c>
      <c r="C185" s="1" t="s">
        <v>70</v>
      </c>
      <c r="E185" s="2" t="str">
        <f>HYPERLINK("https://ui.adsabs.harvard.edu/abs/2022arXiv220814076C/abstract","2022arXiv220814076C")</f>
        <v>2022arXiv220814076C</v>
      </c>
      <c r="F185" s="1" t="s">
        <v>345</v>
      </c>
      <c r="G185" s="1" t="s">
        <v>72</v>
      </c>
      <c r="H185" s="1">
        <v>0.969047</v>
      </c>
      <c r="I185" s="1" t="s">
        <v>344</v>
      </c>
    </row>
    <row r="186">
      <c r="A186" s="2" t="str">
        <f>HYPERLINK("https://ui.adsabs.harvard.edu/abs/2023JHEP...01..091M/abstract","2023JHEP...01..091M")</f>
        <v>2023JHEP...01..091M</v>
      </c>
      <c r="B186" s="2" t="str">
        <f>HYPERLINK("https://ui.adsabs.harvard.edu/abs/2022arXiv220903361M/abstract","2022arXiv220903361M")</f>
        <v>2022arXiv220903361M</v>
      </c>
      <c r="C186" s="1" t="s">
        <v>70</v>
      </c>
      <c r="E186" s="2" t="str">
        <f>HYPERLINK("https://ui.adsabs.harvard.edu/abs/2022arXiv220903361M/abstract","2022arXiv220903361M")</f>
        <v>2022arXiv220903361M</v>
      </c>
      <c r="F186" s="1" t="s">
        <v>346</v>
      </c>
      <c r="G186" s="1" t="s">
        <v>72</v>
      </c>
      <c r="H186" s="1">
        <v>0.9695266</v>
      </c>
      <c r="I186" s="1" t="s">
        <v>347</v>
      </c>
    </row>
    <row r="187">
      <c r="A187" s="2" t="str">
        <f>HYPERLINK("https://ui.adsabs.harvard.edu/abs/2023JPhG...50c0501F/abstract","2023JPhG...50c0501F")</f>
        <v>2023JPhG...50c0501F</v>
      </c>
      <c r="B187" s="2" t="str">
        <f>HYPERLINK("https://ui.adsabs.harvard.edu/abs/2022arXiv220305090F/abstract","2022arXiv220305090F")</f>
        <v>2022arXiv220305090F</v>
      </c>
      <c r="C187" s="1" t="s">
        <v>70</v>
      </c>
      <c r="E187" s="2" t="str">
        <f>HYPERLINK("https://ui.adsabs.harvard.edu/abs/2022arXiv220305090F/abstract","2022arXiv220305090F")</f>
        <v>2022arXiv220305090F</v>
      </c>
      <c r="F187" s="1" t="s">
        <v>348</v>
      </c>
      <c r="G187" s="1" t="s">
        <v>72</v>
      </c>
      <c r="H187" s="1">
        <v>0.970108</v>
      </c>
      <c r="I187" s="1" t="s">
        <v>349</v>
      </c>
    </row>
    <row r="188">
      <c r="A188" s="2" t="str">
        <f>HYPERLINK("https://ui.adsabs.harvard.edu/abs/2023NatPh..19..114V/abstract","2023NatPh..19..114V")</f>
        <v>2023NatPh..19..114V</v>
      </c>
      <c r="E188" s="2" t="str">
        <f>HYPERLINK("https://ui.adsabs.harvard.edu/abs/2023arXiv230103506V/abstract","2023arXiv230103506V")</f>
        <v>2023arXiv230103506V</v>
      </c>
      <c r="G188" s="1" t="s">
        <v>72</v>
      </c>
      <c r="H188" s="1">
        <v>0.9701692</v>
      </c>
      <c r="I188" s="1" t="s">
        <v>350</v>
      </c>
    </row>
    <row r="189">
      <c r="A189" s="2" t="str">
        <f>HYPERLINK("https://ui.adsabs.harvard.edu/abs/2023JFM...955A..27R/abstract","2023JFM...955A..27R")</f>
        <v>2023JFM...955A..27R</v>
      </c>
      <c r="B189" s="2" t="str">
        <f>HYPERLINK("https://ui.adsabs.harvard.edu/abs/2022arXiv220505371R/abstract","2022arXiv220505371R")</f>
        <v>2022arXiv220505371R</v>
      </c>
      <c r="C189" s="1" t="s">
        <v>70</v>
      </c>
      <c r="E189" s="2" t="str">
        <f>HYPERLINK("https://ui.adsabs.harvard.edu/abs/2022arXiv220505371R/abstract","2022arXiv220505371R")</f>
        <v>2022arXiv220505371R</v>
      </c>
      <c r="F189" s="1" t="s">
        <v>351</v>
      </c>
      <c r="G189" s="1" t="s">
        <v>72</v>
      </c>
      <c r="H189" s="1">
        <v>0.970187</v>
      </c>
      <c r="I189" s="1" t="s">
        <v>352</v>
      </c>
    </row>
    <row r="190">
      <c r="A190" s="2" t="str">
        <f>HYPERLINK("https://ui.adsabs.harvard.edu/abs/2023PhRvL.130c0601X/abstract","2023PhRvL.130c0601X")</f>
        <v>2023PhRvL.130c0601X</v>
      </c>
      <c r="E190" s="2" t="str">
        <f>HYPERLINK("https://ui.adsabs.harvard.edu/abs/2022arXiv221202831X/abstract","2022arXiv221202831X")</f>
        <v>2022arXiv221202831X</v>
      </c>
      <c r="F190" s="1" t="s">
        <v>353</v>
      </c>
      <c r="G190" s="1" t="s">
        <v>72</v>
      </c>
      <c r="H190" s="1">
        <v>0.9707448</v>
      </c>
      <c r="I190" s="1" t="s">
        <v>354</v>
      </c>
    </row>
    <row r="191">
      <c r="A191" s="2" t="str">
        <f>HYPERLINK("https://ui.adsabs.harvard.edu/abs/2023JSpRo..60..286G/abstract","2023JSpRo..60..286G")</f>
        <v>2023JSpRo..60..286G</v>
      </c>
      <c r="E191" s="2" t="str">
        <f>HYPERLINK("https://ui.adsabs.harvard.edu/abs/2021arXiv211000634G/abstract","2021arXiv211000634G")</f>
        <v>2021arXiv211000634G</v>
      </c>
      <c r="F191" s="1" t="s">
        <v>355</v>
      </c>
      <c r="G191" s="1" t="s">
        <v>72</v>
      </c>
      <c r="H191" s="1">
        <v>0.9708533</v>
      </c>
      <c r="I191" s="1" t="s">
        <v>356</v>
      </c>
    </row>
    <row r="192">
      <c r="A192" s="2" t="str">
        <f>HYPERLINK("https://ui.adsabs.harvard.edu/abs/2023PhRvL.130c7001N/abstract","2023PhRvL.130c7001N")</f>
        <v>2023PhRvL.130c7001N</v>
      </c>
      <c r="B192" s="2" t="str">
        <f>HYPERLINK("https://ui.adsabs.harvard.edu/abs/2022arXiv220813339N/abstract","2022arXiv220813339N")</f>
        <v>2022arXiv220813339N</v>
      </c>
      <c r="C192" s="1" t="s">
        <v>70</v>
      </c>
      <c r="E192" s="2" t="str">
        <f>HYPERLINK("https://ui.adsabs.harvard.edu/abs/2022arXiv220813339N/abstract","2022arXiv220813339N")</f>
        <v>2022arXiv220813339N</v>
      </c>
      <c r="F192" s="1" t="s">
        <v>357</v>
      </c>
      <c r="G192" s="1" t="s">
        <v>72</v>
      </c>
      <c r="H192" s="1">
        <v>0.970952</v>
      </c>
      <c r="I192" s="1" t="s">
        <v>358</v>
      </c>
    </row>
    <row r="193">
      <c r="A193" s="2" t="str">
        <f>HYPERLINK("https://ui.adsabs.harvard.edu/abs/2023npjQI...9....4Q/abstract","2023npjQI...9....4Q")</f>
        <v>2023npjQI...9....4Q</v>
      </c>
      <c r="B193" s="2" t="str">
        <f>HYPERLINK("https://ui.adsabs.harvard.edu/abs/2022arXiv220604804Q/abstract","2022arXiv220604804Q")</f>
        <v>2022arXiv220604804Q</v>
      </c>
      <c r="C193" s="1" t="s">
        <v>70</v>
      </c>
      <c r="E193" s="2" t="str">
        <f>HYPERLINK("https://ui.adsabs.harvard.edu/abs/2022arXiv220604804Q/abstract","2022arXiv220604804Q")</f>
        <v>2022arXiv220604804Q</v>
      </c>
      <c r="F193" s="1" t="s">
        <v>359</v>
      </c>
      <c r="G193" s="1" t="s">
        <v>72</v>
      </c>
      <c r="H193" s="1">
        <v>0.9709897</v>
      </c>
      <c r="I193" s="1" t="s">
        <v>360</v>
      </c>
    </row>
    <row r="194">
      <c r="A194" s="2" t="str">
        <f>HYPERLINK("https://ui.adsabs.harvard.edu/abs/2023PhRvC.107a4909C/abstract","2023PhRvC.107a4909C")</f>
        <v>2023PhRvC.107a4909C</v>
      </c>
      <c r="E194" s="2" t="str">
        <f>HYPERLINK("https://ui.adsabs.harvard.edu/abs/2021arXiv211004884C/abstract","2021arXiv211004884C")</f>
        <v>2021arXiv211004884C</v>
      </c>
      <c r="F194" s="1" t="s">
        <v>361</v>
      </c>
      <c r="G194" s="1" t="s">
        <v>72</v>
      </c>
      <c r="H194" s="1">
        <v>0.9710441</v>
      </c>
      <c r="I194" s="1" t="s">
        <v>362</v>
      </c>
    </row>
    <row r="195">
      <c r="A195" s="2" t="str">
        <f>HYPERLINK("https://ui.adsabs.harvard.edu/abs/2023NatMa..22....6K/abstract","2023NatMa..22....6K")</f>
        <v>2023NatMa..22....6K</v>
      </c>
      <c r="B195" s="2" t="str">
        <f>HYPERLINK("https://ui.adsabs.harvard.edu/abs/2023arXiv230103526K/abstract","2023arXiv230103526K")</f>
        <v>2023arXiv230103526K</v>
      </c>
      <c r="C195" s="1" t="s">
        <v>70</v>
      </c>
      <c r="E195" s="2" t="str">
        <f>HYPERLINK("https://ui.adsabs.harvard.edu/abs/2023arXiv230103526K/abstract","2023arXiv230103526K")</f>
        <v>2023arXiv230103526K</v>
      </c>
      <c r="F195" s="1" t="s">
        <v>363</v>
      </c>
      <c r="G195" s="1" t="s">
        <v>72</v>
      </c>
      <c r="H195" s="1">
        <v>0.9715595</v>
      </c>
      <c r="I195" s="1" t="s">
        <v>364</v>
      </c>
    </row>
    <row r="196">
      <c r="A196" s="2" t="str">
        <f>HYPERLINK("https://ui.adsabs.harvard.edu/abs/2023OExpr..31.3536Z/abstract","2023OExpr..31.3536Z")</f>
        <v>2023OExpr..31.3536Z</v>
      </c>
      <c r="B196" s="2" t="str">
        <f>HYPERLINK("https://ui.adsabs.harvard.edu/abs/2022arXiv220612207Z/abstract","2022arXiv220612207Z")</f>
        <v>2022arXiv220612207Z</v>
      </c>
      <c r="C196" s="1" t="s">
        <v>70</v>
      </c>
      <c r="E196" s="2" t="str">
        <f>HYPERLINK("https://ui.adsabs.harvard.edu/abs/2022arXiv220612207Z/abstract","2022arXiv220612207Z")</f>
        <v>2022arXiv220612207Z</v>
      </c>
      <c r="F196" s="1" t="s">
        <v>365</v>
      </c>
      <c r="G196" s="1" t="s">
        <v>72</v>
      </c>
      <c r="H196" s="1">
        <v>0.9716666</v>
      </c>
      <c r="I196" s="1" t="s">
        <v>366</v>
      </c>
    </row>
    <row r="197">
      <c r="A197" s="2" t="str">
        <f>HYPERLINK("https://ui.adsabs.harvard.edu/abs/2023OptLT.16109173L/abstract","2023OptLT.16109173L")</f>
        <v>2023OptLT.16109173L</v>
      </c>
      <c r="B197" s="2" t="str">
        <f>HYPERLINK("https://ui.adsabs.harvard.edu/abs/2022arXiv220602486L/abstract","2022arXiv220602486L")</f>
        <v>2022arXiv220602486L</v>
      </c>
      <c r="C197" s="1" t="s">
        <v>70</v>
      </c>
      <c r="E197" s="2" t="str">
        <f>HYPERLINK("https://ui.adsabs.harvard.edu/abs/2022arXiv220602486L/abstract","2022arXiv220602486L")</f>
        <v>2022arXiv220602486L</v>
      </c>
      <c r="F197" s="1" t="s">
        <v>367</v>
      </c>
      <c r="G197" s="1" t="s">
        <v>72</v>
      </c>
      <c r="H197" s="1">
        <v>0.972079</v>
      </c>
      <c r="I197" s="1" t="s">
        <v>368</v>
      </c>
    </row>
    <row r="198">
      <c r="A198" s="2" t="str">
        <f>HYPERLINK("https://ui.adsabs.harvard.edu/abs/2023CSF...16813113B/abstract","2023CSF...16813113B")</f>
        <v>2023CSF...16813113B</v>
      </c>
      <c r="B198" s="2" t="str">
        <f>HYPERLINK("https://ui.adsabs.harvard.edu/abs/2022arXiv220611285B/abstract","2022arXiv220611285B")</f>
        <v>2022arXiv220611285B</v>
      </c>
      <c r="C198" s="1" t="s">
        <v>70</v>
      </c>
      <c r="E198" s="2" t="str">
        <f>HYPERLINK("https://ui.adsabs.harvard.edu/abs/2022arXiv220611285B/abstract","2022arXiv220611285B")</f>
        <v>2022arXiv220611285B</v>
      </c>
      <c r="F198" s="1" t="s">
        <v>369</v>
      </c>
      <c r="G198" s="1" t="s">
        <v>72</v>
      </c>
      <c r="H198" s="1">
        <v>0.972079</v>
      </c>
      <c r="I198" s="1" t="s">
        <v>368</v>
      </c>
    </row>
    <row r="199">
      <c r="A199" s="2" t="str">
        <f>HYPERLINK("https://ui.adsabs.harvard.edu/abs/2023PhRvB.107c5421M/abstract","2023PhRvB.107c5421M")</f>
        <v>2023PhRvB.107c5421M</v>
      </c>
      <c r="B199" s="2" t="str">
        <f>HYPERLINK("https://ui.adsabs.harvard.edu/abs/2022arXiv221113615M/abstract","2022arXiv221113615M")</f>
        <v>2022arXiv221113615M</v>
      </c>
      <c r="C199" s="1" t="s">
        <v>70</v>
      </c>
      <c r="E199" s="2" t="str">
        <f>HYPERLINK("https://ui.adsabs.harvard.edu/abs/2022arXiv221113615M/abstract","2022arXiv221113615M")</f>
        <v>2022arXiv221113615M</v>
      </c>
      <c r="F199" s="1" t="s">
        <v>370</v>
      </c>
      <c r="G199" s="1" t="s">
        <v>72</v>
      </c>
      <c r="H199" s="1">
        <v>0.9723521</v>
      </c>
      <c r="I199" s="1" t="s">
        <v>371</v>
      </c>
    </row>
    <row r="200">
      <c r="A200" s="2" t="str">
        <f>HYPERLINK("https://ui.adsabs.harvard.edu/abs/2023PhRvD.107b6012V/abstract","2023PhRvD.107b6012V")</f>
        <v>2023PhRvD.107b6012V</v>
      </c>
      <c r="E200" s="2" t="str">
        <f>HYPERLINK("https://ui.adsabs.harvard.edu/abs/2022arXiv220714169J/abstract","2022arXiv220714169J")</f>
        <v>2022arXiv220714169J</v>
      </c>
      <c r="F200" s="1" t="s">
        <v>372</v>
      </c>
      <c r="G200" s="1" t="s">
        <v>72</v>
      </c>
      <c r="H200" s="1">
        <v>0.9723845</v>
      </c>
      <c r="I200" s="1" t="s">
        <v>373</v>
      </c>
    </row>
    <row r="201">
      <c r="A201" s="2" t="str">
        <f>HYPERLINK("https://ui.adsabs.harvard.edu/abs/2023JHEP...01..067A/abstract","2023JHEP...01..067A")</f>
        <v>2023JHEP...01..067A</v>
      </c>
      <c r="B201" s="2" t="str">
        <f>HYPERLINK("https://ui.adsabs.harvard.edu/abs/2022arXiv221015006A/abstract","2022arXiv221015006A")</f>
        <v>2022arXiv221015006A</v>
      </c>
      <c r="C201" s="1" t="s">
        <v>70</v>
      </c>
      <c r="E201" s="2" t="str">
        <f>HYPERLINK("https://ui.adsabs.harvard.edu/abs/2022arXiv221015006A/abstract","2022arXiv221015006A")</f>
        <v>2022arXiv221015006A</v>
      </c>
      <c r="F201" s="1" t="s">
        <v>374</v>
      </c>
      <c r="G201" s="1" t="s">
        <v>72</v>
      </c>
      <c r="H201" s="1">
        <v>0.9724043</v>
      </c>
      <c r="I201" s="1" t="s">
        <v>375</v>
      </c>
    </row>
    <row r="202">
      <c r="A202" s="2" t="str">
        <f>HYPERLINK("https://ui.adsabs.harvard.edu/abs/2023PatRe.13709320T/abstract","2023PatRe.13709320T")</f>
        <v>2023PatRe.13709320T</v>
      </c>
      <c r="B202" s="2" t="str">
        <f>HYPERLINK("https://ui.adsabs.harvard.edu/abs/2022arXiv220803006T/abstract","2022arXiv220803006T")</f>
        <v>2022arXiv220803006T</v>
      </c>
      <c r="C202" s="1" t="s">
        <v>70</v>
      </c>
      <c r="E202" s="2" t="str">
        <f>HYPERLINK("https://ui.adsabs.harvard.edu/abs/2022arXiv220803006T/abstract","2022arXiv220803006T")</f>
        <v>2022arXiv220803006T</v>
      </c>
      <c r="F202" s="1" t="s">
        <v>376</v>
      </c>
      <c r="G202" s="1" t="s">
        <v>72</v>
      </c>
      <c r="H202" s="1">
        <v>0.9731741</v>
      </c>
      <c r="I202" s="1" t="s">
        <v>377</v>
      </c>
    </row>
    <row r="203">
      <c r="A203" s="2" t="str">
        <f>HYPERLINK("https://ui.adsabs.harvard.edu/abs/2023PhRvB.107d5420B/abstract","2023PhRvB.107d5420B")</f>
        <v>2023PhRvB.107d5420B</v>
      </c>
      <c r="B203" s="2" t="str">
        <f>HYPERLINK("https://ui.adsabs.harvard.edu/abs/2022arXiv220800734B/abstract","2022arXiv220800734B")</f>
        <v>2022arXiv220800734B</v>
      </c>
      <c r="C203" s="1" t="s">
        <v>70</v>
      </c>
      <c r="E203" s="2" t="str">
        <f>HYPERLINK("https://ui.adsabs.harvard.edu/abs/2022arXiv220800734B/abstract","2022arXiv220800734B")</f>
        <v>2022arXiv220800734B</v>
      </c>
      <c r="F203" s="1" t="s">
        <v>378</v>
      </c>
      <c r="G203" s="1" t="s">
        <v>72</v>
      </c>
      <c r="H203" s="1">
        <v>0.9731741</v>
      </c>
      <c r="I203" s="1" t="s">
        <v>377</v>
      </c>
    </row>
    <row r="204">
      <c r="A204" s="2" t="str">
        <f>HYPERLINK("https://ui.adsabs.harvard.edu/abs/2023PhRvD.107a5018A/abstract","2023PhRvD.107a5018A")</f>
        <v>2023PhRvD.107a5018A</v>
      </c>
      <c r="B204" s="2" t="str">
        <f>HYPERLINK("https://ui.adsabs.harvard.edu/abs/2022arXiv221100632A/abstract","2022arXiv221100632A")</f>
        <v>2022arXiv221100632A</v>
      </c>
      <c r="C204" s="1" t="s">
        <v>70</v>
      </c>
      <c r="E204" s="2" t="str">
        <f>HYPERLINK("https://ui.adsabs.harvard.edu/abs/2022arXiv221100632A/abstract","2022arXiv221100632A")</f>
        <v>2022arXiv221100632A</v>
      </c>
      <c r="F204" s="1" t="s">
        <v>379</v>
      </c>
      <c r="G204" s="1" t="s">
        <v>72</v>
      </c>
      <c r="H204" s="1">
        <v>0.9731741</v>
      </c>
      <c r="I204" s="1" t="s">
        <v>377</v>
      </c>
    </row>
    <row r="205">
      <c r="A205" s="2" t="str">
        <f>HYPERLINK("https://ui.adsabs.harvard.edu/abs/2023PhRvF...8a3902S/abstract","2023PhRvF...8a3902S")</f>
        <v>2023PhRvF...8a3902S</v>
      </c>
      <c r="E205" s="2" t="str">
        <f>HYPERLINK("https://ui.adsabs.harvard.edu/abs/2021arXiv210800641S/abstract","2021arXiv210800641S")</f>
        <v>2021arXiv210800641S</v>
      </c>
      <c r="F205" s="1" t="s">
        <v>380</v>
      </c>
      <c r="G205" s="1" t="s">
        <v>72</v>
      </c>
      <c r="H205" s="1">
        <v>0.9733968</v>
      </c>
      <c r="I205" s="1" t="s">
        <v>381</v>
      </c>
    </row>
    <row r="206">
      <c r="A206" s="2" t="str">
        <f>HYPERLINK("https://ui.adsabs.harvard.edu/abs/2023JPCM...35k5801L/abstract","2023JPCM...35k5801L")</f>
        <v>2023JPCM...35k5801L</v>
      </c>
      <c r="B206" s="2" t="str">
        <f>HYPERLINK("https://ui.adsabs.harvard.edu/abs/2022arXiv220904613L/abstract","2022arXiv220904613L")</f>
        <v>2022arXiv220904613L</v>
      </c>
      <c r="C206" s="1" t="s">
        <v>70</v>
      </c>
      <c r="E206" s="2" t="str">
        <f>HYPERLINK("https://ui.adsabs.harvard.edu/abs/2022arXiv220904613L/abstract","2022arXiv220904613L")</f>
        <v>2022arXiv220904613L</v>
      </c>
      <c r="F206" s="1" t="s">
        <v>382</v>
      </c>
      <c r="G206" s="1" t="s">
        <v>72</v>
      </c>
      <c r="H206" s="1">
        <v>0.9739229</v>
      </c>
      <c r="I206" s="1" t="s">
        <v>383</v>
      </c>
    </row>
    <row r="207">
      <c r="A207" s="2" t="str">
        <f>HYPERLINK("https://ui.adsabs.harvard.edu/abs/2023JCoPh.47611903M/abstract","2023JCoPh.47611903M")</f>
        <v>2023JCoPh.47611903M</v>
      </c>
      <c r="B207" s="2" t="str">
        <f>HYPERLINK("https://ui.adsabs.harvard.edu/abs/2022arXiv220111875M/abstract","2022arXiv220111875M")</f>
        <v>2022arXiv220111875M</v>
      </c>
      <c r="C207" s="1" t="s">
        <v>70</v>
      </c>
      <c r="E207" s="2" t="str">
        <f>HYPERLINK("https://ui.adsabs.harvard.edu/abs/2022arXiv220111875M/abstract","2022arXiv220111875M")</f>
        <v>2022arXiv220111875M</v>
      </c>
      <c r="F207" s="1" t="s">
        <v>384</v>
      </c>
      <c r="G207" s="1" t="s">
        <v>72</v>
      </c>
      <c r="H207" s="1">
        <v>0.9740213</v>
      </c>
      <c r="I207" s="1" t="s">
        <v>385</v>
      </c>
    </row>
    <row r="208">
      <c r="A208" s="2" t="str">
        <f>HYPERLINK("https://ui.adsabs.harvard.edu/abs/2023PhRvR...5a3020L/abstract","2023PhRvR...5a3020L")</f>
        <v>2023PhRvR...5a3020L</v>
      </c>
      <c r="B208" s="2" t="str">
        <f>HYPERLINK("https://ui.adsabs.harvard.edu/abs/2022arXiv220808060L/abstract","2022arXiv220808060L")</f>
        <v>2022arXiv220808060L</v>
      </c>
      <c r="C208" s="1" t="s">
        <v>70</v>
      </c>
      <c r="E208" s="2" t="str">
        <f>HYPERLINK("https://ui.adsabs.harvard.edu/abs/2022arXiv220808060L/abstract","2022arXiv220808060L")</f>
        <v>2022arXiv220808060L</v>
      </c>
      <c r="F208" s="1" t="s">
        <v>386</v>
      </c>
      <c r="G208" s="1" t="s">
        <v>72</v>
      </c>
      <c r="H208" s="1">
        <v>0.9740213</v>
      </c>
      <c r="I208" s="1" t="s">
        <v>385</v>
      </c>
    </row>
    <row r="209">
      <c r="A209" s="2" t="str">
        <f>HYPERLINK("https://ui.adsabs.harvard.edu/abs/2023JPhA...56a5304S/abstract","2023JPhA...56a5304S")</f>
        <v>2023JPhA...56a5304S</v>
      </c>
      <c r="B209" s="2" t="str">
        <f>HYPERLINK("https://ui.adsabs.harvard.edu/abs/2022arXiv220513416S/abstract","2022arXiv220513416S")</f>
        <v>2022arXiv220513416S</v>
      </c>
      <c r="C209" s="1" t="s">
        <v>70</v>
      </c>
      <c r="E209" s="2" t="str">
        <f>HYPERLINK("https://ui.adsabs.harvard.edu/abs/2022arXiv220513416S/abstract","2022arXiv220513416S")</f>
        <v>2022arXiv220513416S</v>
      </c>
      <c r="F209" s="1" t="s">
        <v>387</v>
      </c>
      <c r="G209" s="1" t="s">
        <v>72</v>
      </c>
      <c r="H209" s="1">
        <v>0.9740213</v>
      </c>
      <c r="I209" s="1" t="s">
        <v>385</v>
      </c>
    </row>
    <row r="210">
      <c r="A210" s="2" t="str">
        <f>HYPERLINK("https://ui.adsabs.harvard.edu/abs/2023PhRvB.107a4413L/abstract","2023PhRvB.107a4413L")</f>
        <v>2023PhRvB.107a4413L</v>
      </c>
      <c r="E210" s="2" t="str">
        <f>HYPERLINK("https://ui.adsabs.harvard.edu/abs/2021arXiv211007372L/abstract","2021arXiv211007372L")</f>
        <v>2021arXiv211007372L</v>
      </c>
      <c r="G210" s="1" t="s">
        <v>72</v>
      </c>
      <c r="H210" s="1">
        <v>0.974417</v>
      </c>
      <c r="I210" s="1" t="s">
        <v>388</v>
      </c>
    </row>
    <row r="211">
      <c r="A211" s="2" t="str">
        <f>HYPERLINK("https://ui.adsabs.harvard.edu/abs/2023NaPho..17..120W/abstract","2023NaPho..17..120W")</f>
        <v>2023NaPho..17..120W</v>
      </c>
      <c r="B211" s="2" t="str">
        <f>HYPERLINK("https://ui.adsabs.harvard.edu/abs/2022arXiv220604485W/abstract","2022arXiv220604485W")</f>
        <v>2022arXiv220604485W</v>
      </c>
      <c r="C211" s="1" t="s">
        <v>70</v>
      </c>
      <c r="E211" s="2" t="str">
        <f>HYPERLINK("https://ui.adsabs.harvard.edu/abs/2022arXiv220604485W/abstract","2022arXiv220604485W")</f>
        <v>2022arXiv220604485W</v>
      </c>
      <c r="F211" s="1" t="s">
        <v>389</v>
      </c>
      <c r="G211" s="1" t="s">
        <v>72</v>
      </c>
      <c r="H211" s="1">
        <v>0.9746514</v>
      </c>
      <c r="I211" s="1" t="s">
        <v>390</v>
      </c>
    </row>
    <row r="212">
      <c r="A212" s="2" t="str">
        <f>HYPERLINK("https://ui.adsabs.harvard.edu/abs/2023PhRvA.107a2214M/abstract","2023PhRvA.107a2214M")</f>
        <v>2023PhRvA.107a2214M</v>
      </c>
      <c r="B212" s="2" t="str">
        <f>HYPERLINK("https://ui.adsabs.harvard.edu/abs/2022arXiv220506844M/abstract","2022arXiv220506844M")</f>
        <v>2022arXiv220506844M</v>
      </c>
      <c r="C212" s="1" t="s">
        <v>70</v>
      </c>
      <c r="E212" s="2" t="str">
        <f>HYPERLINK("https://ui.adsabs.harvard.edu/abs/2022arXiv220506844M/abstract","2022arXiv220506844M")</f>
        <v>2022arXiv220506844M</v>
      </c>
      <c r="F212" s="1" t="s">
        <v>391</v>
      </c>
      <c r="G212" s="1" t="s">
        <v>72</v>
      </c>
      <c r="H212" s="1">
        <v>0.9746514</v>
      </c>
      <c r="I212" s="1" t="s">
        <v>390</v>
      </c>
    </row>
    <row r="213">
      <c r="A213" s="2" t="str">
        <f>HYPERLINK("https://ui.adsabs.harvard.edu/abs/2023PhRvB.107c5121Q/abstract","2023PhRvB.107c5121Q")</f>
        <v>2023PhRvB.107c5121Q</v>
      </c>
      <c r="B213" s="2" t="str">
        <f>HYPERLINK("https://ui.adsabs.harvard.edu/abs/2022arXiv221104320Q/abstract","2022arXiv221104320Q")</f>
        <v>2022arXiv221104320Q</v>
      </c>
      <c r="C213" s="1" t="s">
        <v>70</v>
      </c>
      <c r="E213" s="2" t="str">
        <f>HYPERLINK("https://ui.adsabs.harvard.edu/abs/2022arXiv221104320Q/abstract","2022arXiv221104320Q")</f>
        <v>2022arXiv221104320Q</v>
      </c>
      <c r="F213" s="1" t="s">
        <v>392</v>
      </c>
      <c r="G213" s="1" t="s">
        <v>72</v>
      </c>
      <c r="H213" s="1">
        <v>0.9746514</v>
      </c>
      <c r="I213" s="1" t="s">
        <v>390</v>
      </c>
    </row>
    <row r="214">
      <c r="A214" s="2" t="str">
        <f>HYPERLINK("https://ui.adsabs.harvard.edu/abs/2023PhRvC.107a4309C/abstract","2023PhRvC.107a4309C")</f>
        <v>2023PhRvC.107a4309C</v>
      </c>
      <c r="B214" s="2" t="str">
        <f>HYPERLINK("https://ui.adsabs.harvard.edu/abs/2022arXiv221100281C/abstract","2022arXiv221100281C")</f>
        <v>2022arXiv221100281C</v>
      </c>
      <c r="C214" s="1" t="s">
        <v>70</v>
      </c>
      <c r="E214" s="2" t="str">
        <f>HYPERLINK("https://ui.adsabs.harvard.edu/abs/2022arXiv221100281C/abstract","2022arXiv221100281C")</f>
        <v>2022arXiv221100281C</v>
      </c>
      <c r="F214" s="1" t="s">
        <v>393</v>
      </c>
      <c r="G214" s="1" t="s">
        <v>72</v>
      </c>
      <c r="H214" s="1">
        <v>0.9746514</v>
      </c>
      <c r="I214" s="1" t="s">
        <v>390</v>
      </c>
    </row>
    <row r="215">
      <c r="A215" s="2" t="str">
        <f>HYPERLINK("https://ui.adsabs.harvard.edu/abs/2023PhRvL.130c0801Z/abstract","2023PhRvL.130c0801Z")</f>
        <v>2023PhRvL.130c0801Z</v>
      </c>
      <c r="B215" s="2" t="str">
        <f>HYPERLINK("https://ui.adsabs.harvard.edu/abs/2022arXiv220805649Z/abstract","2022arXiv220805649Z")</f>
        <v>2022arXiv220805649Z</v>
      </c>
      <c r="C215" s="1" t="s">
        <v>70</v>
      </c>
      <c r="E215" s="2" t="str">
        <f>HYPERLINK("https://ui.adsabs.harvard.edu/abs/2022arXiv220805649Z/abstract","2022arXiv220805649Z")</f>
        <v>2022arXiv220805649Z</v>
      </c>
      <c r="F215" s="1" t="s">
        <v>394</v>
      </c>
      <c r="G215" s="1" t="s">
        <v>72</v>
      </c>
      <c r="H215" s="1">
        <v>0.9746514</v>
      </c>
      <c r="I215" s="1" t="s">
        <v>390</v>
      </c>
    </row>
    <row r="216">
      <c r="A216" s="2" t="str">
        <f>HYPERLINK("https://ui.adsabs.harvard.edu/abs/2023PhRvR...5a3034C/abstract","2023PhRvR...5a3034C")</f>
        <v>2023PhRvR...5a3034C</v>
      </c>
      <c r="B216" s="2" t="str">
        <f>HYPERLINK("https://ui.adsabs.harvard.edu/abs/2022arXiv220606521C/abstract","2022arXiv220606521C")</f>
        <v>2022arXiv220606521C</v>
      </c>
      <c r="C216" s="1" t="s">
        <v>70</v>
      </c>
      <c r="E216" s="2" t="str">
        <f>HYPERLINK("https://ui.adsabs.harvard.edu/abs/2022arXiv220606521C/abstract","2022arXiv220606521C")</f>
        <v>2022arXiv220606521C</v>
      </c>
      <c r="F216" s="1" t="s">
        <v>395</v>
      </c>
      <c r="G216" s="1" t="s">
        <v>72</v>
      </c>
      <c r="H216" s="1">
        <v>0.9746514</v>
      </c>
      <c r="I216" s="1" t="s">
        <v>390</v>
      </c>
    </row>
    <row r="217">
      <c r="A217" s="2" t="str">
        <f>HYPERLINK("https://ui.adsabs.harvard.edu/abs/2023NJPh...25a3014T/abstract","2023NJPh...25a3014T")</f>
        <v>2023NJPh...25a3014T</v>
      </c>
      <c r="E217" s="2" t="str">
        <f>HYPERLINK("https://ui.adsabs.harvard.edu/abs/2021arXiv211012730T/abstract","2021arXiv211012730T")</f>
        <v>2021arXiv211012730T</v>
      </c>
      <c r="F217" s="1" t="s">
        <v>396</v>
      </c>
      <c r="G217" s="1" t="s">
        <v>72</v>
      </c>
      <c r="H217" s="1">
        <v>0.9747533</v>
      </c>
      <c r="I217" s="1" t="s">
        <v>397</v>
      </c>
    </row>
    <row r="218">
      <c r="A218" s="2" t="str">
        <f>HYPERLINK("https://ui.adsabs.harvard.edu/abs/2023QuIP...22...67H/abstract","2023QuIP...22...67H")</f>
        <v>2023QuIP...22...67H</v>
      </c>
      <c r="E218" s="2" t="str">
        <f>HYPERLINK("https://ui.adsabs.harvard.edu/abs/2021arXiv211107726H/abstract","2021arXiv211107726H")</f>
        <v>2021arXiv211107726H</v>
      </c>
      <c r="F218" s="1" t="s">
        <v>398</v>
      </c>
      <c r="G218" s="1" t="s">
        <v>72</v>
      </c>
      <c r="H218" s="1">
        <v>0.9749191</v>
      </c>
      <c r="I218" s="1" t="s">
        <v>399</v>
      </c>
    </row>
    <row r="219">
      <c r="A219" s="2" t="str">
        <f>HYPERLINK("https://ui.adsabs.harvard.edu/abs/2023JInst..1801003S/abstract","2023JInst..1801003S")</f>
        <v>2023JInst..1801003S</v>
      </c>
      <c r="B219" s="2" t="str">
        <f>HYPERLINK("https://ui.adsabs.harvard.edu/abs/2022arXiv221005764S/abstract","2022arXiv221005764S")</f>
        <v>2022arXiv221005764S</v>
      </c>
      <c r="C219" s="1" t="s">
        <v>70</v>
      </c>
      <c r="E219" s="2" t="str">
        <f>HYPERLINK("https://ui.adsabs.harvard.edu/abs/2022arXiv221005764S/abstract","2022arXiv221005764S")</f>
        <v>2022arXiv221005764S</v>
      </c>
      <c r="F219" s="1" t="s">
        <v>400</v>
      </c>
      <c r="G219" s="1" t="s">
        <v>72</v>
      </c>
      <c r="H219" s="1">
        <v>0.97536</v>
      </c>
      <c r="I219" s="1" t="s">
        <v>401</v>
      </c>
    </row>
    <row r="220">
      <c r="A220" s="2" t="str">
        <f>HYPERLINK("https://ui.adsabs.harvard.edu/abs/2023PhRvB.107b4507D/abstract","2023PhRvB.107b4507D")</f>
        <v>2023PhRvB.107b4507D</v>
      </c>
      <c r="B220" s="2" t="str">
        <f>HYPERLINK("https://ui.adsabs.harvard.edu/abs/2022arXiv221106174D/abstract","2022arXiv221106174D")</f>
        <v>2022arXiv221106174D</v>
      </c>
      <c r="C220" s="1" t="s">
        <v>70</v>
      </c>
      <c r="E220" s="2" t="str">
        <f>HYPERLINK("https://ui.adsabs.harvard.edu/abs/2022arXiv221106174D/abstract","2022arXiv221106174D")</f>
        <v>2022arXiv221106174D</v>
      </c>
      <c r="F220" s="1" t="s">
        <v>402</v>
      </c>
      <c r="G220" s="1" t="s">
        <v>72</v>
      </c>
      <c r="H220" s="1">
        <v>0.97536</v>
      </c>
      <c r="I220" s="1" t="s">
        <v>401</v>
      </c>
    </row>
    <row r="221">
      <c r="A221" s="2" t="str">
        <f>HYPERLINK("https://ui.adsabs.harvard.edu/abs/2023FrP....1071971B/abstract","2023FrP....1071971B")</f>
        <v>2023FrP....1071971B</v>
      </c>
      <c r="E221" s="2" t="str">
        <f>HYPERLINK("https://ui.adsabs.harvard.edu/abs/2023arXiv230104293B/abstract","2023arXiv230104293B")</f>
        <v>2023arXiv230104293B</v>
      </c>
      <c r="F221" s="1" t="s">
        <v>403</v>
      </c>
      <c r="G221" s="1" t="s">
        <v>72</v>
      </c>
      <c r="H221" s="1">
        <v>0.97536</v>
      </c>
      <c r="I221" s="1" t="s">
        <v>401</v>
      </c>
    </row>
    <row r="222">
      <c r="A222" s="2" t="str">
        <f>HYPERLINK("https://ui.adsabs.harvard.edu/abs/2023PhRvF...8a4702G/abstract","2023PhRvF...8a4702G")</f>
        <v>2023PhRvF...8a4702G</v>
      </c>
      <c r="E222" s="2" t="str">
        <f>HYPERLINK("https://ui.adsabs.harvard.edu/abs/2021arXiv210707768G/abstract","2021arXiv210707768G")</f>
        <v>2021arXiv210707768G</v>
      </c>
      <c r="F222" s="1" t="s">
        <v>404</v>
      </c>
      <c r="G222" s="1" t="s">
        <v>72</v>
      </c>
      <c r="H222" s="1">
        <v>0.9758835</v>
      </c>
      <c r="I222" s="1" t="s">
        <v>405</v>
      </c>
    </row>
    <row r="223">
      <c r="A223" s="2" t="str">
        <f>HYPERLINK("https://ui.adsabs.harvard.edu/abs/2023JSP...190...52H/abstract","2023JSP...190...52H")</f>
        <v>2023JSP...190...52H</v>
      </c>
      <c r="B223" s="2" t="str">
        <f>HYPERLINK("https://ui.adsabs.harvard.edu/abs/2022arXiv220310756H/abstract","2022arXiv220310756H")</f>
        <v>2022arXiv220310756H</v>
      </c>
      <c r="C223" s="1" t="s">
        <v>70</v>
      </c>
      <c r="E223" s="2" t="str">
        <f>HYPERLINK("https://ui.adsabs.harvard.edu/abs/2022arXiv220310756H/abstract","2022arXiv220310756H")</f>
        <v>2022arXiv220310756H</v>
      </c>
      <c r="F223" s="1" t="s">
        <v>406</v>
      </c>
      <c r="G223" s="1" t="s">
        <v>72</v>
      </c>
      <c r="H223" s="1">
        <v>0.9760948</v>
      </c>
      <c r="I223" s="1" t="s">
        <v>407</v>
      </c>
    </row>
    <row r="224">
      <c r="A224" s="2" t="str">
        <f>HYPERLINK("https://ui.adsabs.harvard.edu/abs/2023JGP...18504748G/abstract","2023JGP...18504748G")</f>
        <v>2023JGP...18504748G</v>
      </c>
      <c r="E224" s="2" t="str">
        <f>HYPERLINK("https://ui.adsabs.harvard.edu/abs/2021arXiv210211473G/abstract","2021arXiv210211473G")</f>
        <v>2021arXiv210211473G</v>
      </c>
      <c r="F224" s="1" t="s">
        <v>408</v>
      </c>
      <c r="G224" s="1" t="s">
        <v>72</v>
      </c>
      <c r="H224" s="1">
        <v>0.9761999</v>
      </c>
      <c r="I224" s="1" t="s">
        <v>409</v>
      </c>
    </row>
    <row r="225">
      <c r="A225" s="2" t="str">
        <f>HYPERLINK("https://ui.adsabs.harvard.edu/abs/2023JPhG...50b0501A/abstract","2023JPhG...50b0501A")</f>
        <v>2023JPhG...50b0501A</v>
      </c>
      <c r="B225" s="2" t="str">
        <f>HYPERLINK("https://ui.adsabs.harvard.edu/abs/2022arXiv220308039A/abstract","2022arXiv220308039A")</f>
        <v>2022arXiv220308039A</v>
      </c>
      <c r="C225" s="1" t="s">
        <v>70</v>
      </c>
      <c r="E225" s="2" t="str">
        <f>HYPERLINK("https://ui.adsabs.harvard.edu/abs/2022arXiv220308039A/abstract","2022arXiv220308039A")</f>
        <v>2022arXiv220308039A</v>
      </c>
      <c r="F225" s="1" t="s">
        <v>410</v>
      </c>
      <c r="G225" s="1" t="s">
        <v>72</v>
      </c>
      <c r="H225" s="1">
        <v>0.9764913</v>
      </c>
      <c r="I225" s="1" t="s">
        <v>411</v>
      </c>
    </row>
    <row r="226">
      <c r="A226" s="2" t="str">
        <f>HYPERLINK("https://ui.adsabs.harvard.edu/abs/2023PhRvM...7a4408K/abstract","2023PhRvM...7a4408K")</f>
        <v>2023PhRvM...7a4408K</v>
      </c>
      <c r="B226" s="2" t="str">
        <f>HYPERLINK("https://ui.adsabs.harvard.edu/abs/2022arXiv220900047K/abstract","2022arXiv220900047K")</f>
        <v>2022arXiv220900047K</v>
      </c>
      <c r="C226" s="1" t="s">
        <v>70</v>
      </c>
      <c r="E226" s="2" t="str">
        <f>HYPERLINK("https://ui.adsabs.harvard.edu/abs/2022arXiv220900047K/abstract","2022arXiv220900047K")</f>
        <v>2022arXiv220900047K</v>
      </c>
      <c r="F226" s="1" t="s">
        <v>412</v>
      </c>
      <c r="G226" s="1" t="s">
        <v>72</v>
      </c>
      <c r="H226" s="1">
        <v>0.976692</v>
      </c>
      <c r="I226" s="1" t="s">
        <v>413</v>
      </c>
    </row>
    <row r="227">
      <c r="A227" s="2" t="str">
        <f>HYPERLINK("https://ui.adsabs.harvard.edu/abs/2023QuIP...22...68C/abstract","2023QuIP...22...68C")</f>
        <v>2023QuIP...22...68C</v>
      </c>
      <c r="B227" s="2" t="str">
        <f>HYPERLINK("https://ui.adsabs.harvard.edu/abs/2022arXiv220317062C/abstract","2022arXiv220317062C")</f>
        <v>2022arXiv220317062C</v>
      </c>
      <c r="C227" s="1" t="s">
        <v>70</v>
      </c>
      <c r="E227" s="2" t="str">
        <f>HYPERLINK("https://ui.adsabs.harvard.edu/abs/2022arXiv220317062C/abstract","2022arXiv220317062C")</f>
        <v>2022arXiv220317062C</v>
      </c>
      <c r="F227" s="1" t="s">
        <v>414</v>
      </c>
      <c r="G227" s="1" t="s">
        <v>72</v>
      </c>
      <c r="H227" s="1">
        <v>0.9767641</v>
      </c>
      <c r="I227" s="1" t="s">
        <v>415</v>
      </c>
    </row>
    <row r="228">
      <c r="A228" s="2" t="str">
        <f>HYPERLINK("https://ui.adsabs.harvard.edu/abs/2023PCCP...25.1717D/abstract","2023PCCP...25.1717D")</f>
        <v>2023PCCP...25.1717D</v>
      </c>
      <c r="E228" s="2" t="str">
        <f>HYPERLINK("https://ui.adsabs.harvard.edu/abs/2022arXiv220905538D/abstract","2022arXiv220905538D")</f>
        <v>2022arXiv220905538D</v>
      </c>
      <c r="F228" s="1" t="s">
        <v>416</v>
      </c>
      <c r="G228" s="1" t="s">
        <v>72</v>
      </c>
      <c r="H228" s="1">
        <v>0.9772802</v>
      </c>
      <c r="I228" s="1" t="s">
        <v>417</v>
      </c>
    </row>
    <row r="229">
      <c r="A229" s="2" t="str">
        <f>HYPERLINK("https://ui.adsabs.harvard.edu/abs/2023NaPho..17...36S/abstract","2023NaPho..17...36S")</f>
        <v>2023NaPho..17...36S</v>
      </c>
      <c r="B229" s="2" t="str">
        <f>HYPERLINK("https://ui.adsabs.harvard.edu/abs/2022arXiv220902120S/abstract","2022arXiv220902120S")</f>
        <v>2022arXiv220902120S</v>
      </c>
      <c r="C229" s="1" t="s">
        <v>70</v>
      </c>
      <c r="E229" s="2" t="str">
        <f>HYPERLINK("https://ui.adsabs.harvard.edu/abs/2022arXiv220902120S/abstract","2022arXiv220902120S")</f>
        <v>2022arXiv220902120S</v>
      </c>
      <c r="F229" s="1" t="s">
        <v>418</v>
      </c>
      <c r="G229" s="1" t="s">
        <v>72</v>
      </c>
      <c r="H229" s="1">
        <v>0.977415</v>
      </c>
      <c r="I229" s="1" t="s">
        <v>419</v>
      </c>
    </row>
    <row r="230">
      <c r="A230" s="2" t="str">
        <f>HYPERLINK("https://ui.adsabs.harvard.edu/abs/2023JHEP...01..056C/abstract","2023JHEP...01..056C")</f>
        <v>2023JHEP...01..056C</v>
      </c>
      <c r="B230" s="2" t="str">
        <f>HYPERLINK("https://ui.adsabs.harvard.edu/abs/2022arXiv220912789C/abstract","2022arXiv220912789C")</f>
        <v>2022arXiv220912789C</v>
      </c>
      <c r="C230" s="1" t="s">
        <v>70</v>
      </c>
      <c r="E230" s="2" t="str">
        <f>HYPERLINK("https://ui.adsabs.harvard.edu/abs/2022arXiv220912789C/abstract","2022arXiv220912789C")</f>
        <v>2022arXiv220912789C</v>
      </c>
      <c r="F230" s="1" t="s">
        <v>420</v>
      </c>
      <c r="G230" s="1" t="s">
        <v>72</v>
      </c>
      <c r="H230" s="1">
        <v>0.977415</v>
      </c>
      <c r="I230" s="1" t="s">
        <v>419</v>
      </c>
    </row>
    <row r="231">
      <c r="A231" s="2" t="str">
        <f>HYPERLINK("https://ui.adsabs.harvard.edu/abs/2023PhRvB.107c5414A/abstract","2023PhRvB.107c5414A")</f>
        <v>2023PhRvB.107c5414A</v>
      </c>
      <c r="B231" s="2" t="str">
        <f>HYPERLINK("https://ui.adsabs.harvard.edu/abs/2022arXiv221013340A/abstract","2022arXiv221013340A")</f>
        <v>2022arXiv221013340A</v>
      </c>
      <c r="C231" s="1" t="s">
        <v>70</v>
      </c>
      <c r="E231" s="2" t="str">
        <f>HYPERLINK("https://ui.adsabs.harvard.edu/abs/2022arXiv221013340A/abstract","2022arXiv221013340A")</f>
        <v>2022arXiv221013340A</v>
      </c>
      <c r="F231" s="1" t="s">
        <v>421</v>
      </c>
      <c r="G231" s="1" t="s">
        <v>72</v>
      </c>
      <c r="H231" s="1">
        <v>0.977415</v>
      </c>
      <c r="I231" s="1" t="s">
        <v>419</v>
      </c>
    </row>
    <row r="232">
      <c r="A232" s="2" t="str">
        <f>HYPERLINK("https://ui.adsabs.harvard.edu/abs/2023PhRvD.107b3011T/abstract","2023PhRvD.107b3011T")</f>
        <v>2023PhRvD.107b3011T</v>
      </c>
      <c r="B232" s="2" t="str">
        <f>HYPERLINK("https://ui.adsabs.harvard.edu/abs/2022arXiv221208793T/abstract","2022arXiv221208793T")</f>
        <v>2022arXiv221208793T</v>
      </c>
      <c r="C232" s="1" t="s">
        <v>70</v>
      </c>
      <c r="E232" s="2" t="str">
        <f>HYPERLINK("https://ui.adsabs.harvard.edu/abs/2022arXiv221208793T/abstract","2022arXiv221208793T")</f>
        <v>2022arXiv221208793T</v>
      </c>
      <c r="F232" s="1" t="s">
        <v>422</v>
      </c>
      <c r="G232" s="1" t="s">
        <v>72</v>
      </c>
      <c r="H232" s="1">
        <v>0.977415</v>
      </c>
      <c r="I232" s="1" t="s">
        <v>419</v>
      </c>
    </row>
    <row r="233">
      <c r="A233" s="2" t="str">
        <f>HYPERLINK("https://ui.adsabs.harvard.edu/abs/2023Mate...16..953Z/abstract","2023Mate...16..953Z")</f>
        <v>2023Mate...16..953Z</v>
      </c>
      <c r="B233" s="2" t="str">
        <f>HYPERLINK("https://ui.adsabs.harvard.edu/abs/2022arXiv221014651Z/abstract","2022arXiv221014651Z")</f>
        <v>2022arXiv221014651Z</v>
      </c>
      <c r="C233" s="1" t="s">
        <v>70</v>
      </c>
      <c r="E233" s="2" t="str">
        <f>HYPERLINK("https://ui.adsabs.harvard.edu/abs/2022arXiv221014651Z/abstract","2022arXiv221014651Z")</f>
        <v>2022arXiv221014651Z</v>
      </c>
      <c r="F233" s="1" t="s">
        <v>423</v>
      </c>
      <c r="G233" s="1" t="s">
        <v>72</v>
      </c>
      <c r="H233" s="1">
        <v>0.977415</v>
      </c>
      <c r="I233" s="1" t="s">
        <v>419</v>
      </c>
    </row>
    <row r="234">
      <c r="A234" s="2" t="str">
        <f>HYPERLINK("https://ui.adsabs.harvard.edu/abs/2023NIMPA104968017S/abstract","2023NIMPA104968017S")</f>
        <v>2023NIMPA104968017S</v>
      </c>
      <c r="B234" s="2" t="str">
        <f>HYPERLINK("https://ui.adsabs.harvard.edu/abs/2022arXiv220710890S/abstract","2022arXiv220710890S")</f>
        <v>2022arXiv220710890S</v>
      </c>
      <c r="C234" s="1" t="s">
        <v>70</v>
      </c>
      <c r="E234" s="2" t="str">
        <f>HYPERLINK("https://ui.adsabs.harvard.edu/abs/2022arXiv220710890S/abstract","2022arXiv220710890S")</f>
        <v>2022arXiv220710890S</v>
      </c>
      <c r="F234" s="1" t="s">
        <v>424</v>
      </c>
      <c r="G234" s="1" t="s">
        <v>72</v>
      </c>
      <c r="H234" s="1">
        <v>0.9776759</v>
      </c>
      <c r="I234" s="1" t="s">
        <v>425</v>
      </c>
    </row>
    <row r="235">
      <c r="A235" s="2" t="str">
        <f>HYPERLINK("https://ui.adsabs.harvard.edu/abs/2023SMat...19..347P/abstract","2023SMat...19..347P")</f>
        <v>2023SMat...19..347P</v>
      </c>
      <c r="B235" s="2" t="str">
        <f>HYPERLINK("https://ui.adsabs.harvard.edu/abs/2022arXiv220909363P/abstract","2022arXiv220909363P")</f>
        <v>2022arXiv220909363P</v>
      </c>
      <c r="C235" s="1" t="s">
        <v>70</v>
      </c>
      <c r="E235" s="2" t="str">
        <f>HYPERLINK("https://ui.adsabs.harvard.edu/abs/2022arXiv220909363P/abstract","2022arXiv220909363P")</f>
        <v>2022arXiv220909363P</v>
      </c>
      <c r="F235" s="1" t="s">
        <v>426</v>
      </c>
      <c r="G235" s="1" t="s">
        <v>72</v>
      </c>
      <c r="H235" s="1">
        <v>0.9777564</v>
      </c>
      <c r="I235" s="1" t="s">
        <v>427</v>
      </c>
    </row>
    <row r="236">
      <c r="A236" s="2" t="str">
        <f>HYPERLINK("https://ui.adsabs.harvard.edu/abs/2021Quant...5..480Y/abstract","2021Quant...5..480Y")</f>
        <v>2021Quant...5..480Y</v>
      </c>
      <c r="E236" s="2" t="str">
        <f>HYPERLINK("https://ui.adsabs.harvard.edu/abs/2019arXiv191211049Y/abstract","2019arXiv191211049Y")</f>
        <v>2019arXiv191211049Y</v>
      </c>
      <c r="F236" s="1" t="s">
        <v>428</v>
      </c>
      <c r="G236" s="1" t="s">
        <v>72</v>
      </c>
      <c r="H236" s="1">
        <v>0.977874</v>
      </c>
      <c r="I236" s="1" t="s">
        <v>429</v>
      </c>
    </row>
    <row r="237">
      <c r="A237" s="2" t="str">
        <f>HYPERLINK("https://ui.adsabs.harvard.edu/abs/2023PaReL.166...89V/abstract","2023PaReL.166...89V")</f>
        <v>2023PaReL.166...89V</v>
      </c>
      <c r="B237" s="2" t="str">
        <f>HYPERLINK("https://ui.adsabs.harvard.edu/abs/2022arXiv220112633V/abstract","2022arXiv220112633V")</f>
        <v>2022arXiv220112633V</v>
      </c>
      <c r="C237" s="1" t="s">
        <v>70</v>
      </c>
      <c r="E237" s="2" t="str">
        <f>HYPERLINK("https://ui.adsabs.harvard.edu/abs/2022arXiv220112633V/abstract","2022arXiv220112633V")</f>
        <v>2022arXiv220112633V</v>
      </c>
      <c r="F237" s="1" t="s">
        <v>430</v>
      </c>
      <c r="G237" s="1" t="s">
        <v>72</v>
      </c>
      <c r="H237" s="1">
        <v>0.977949</v>
      </c>
      <c r="I237" s="1" t="s">
        <v>431</v>
      </c>
    </row>
    <row r="238">
      <c r="A238" s="2" t="str">
        <f>HYPERLINK("https://ui.adsabs.harvard.edu/abs/2023JHEP...01..037B/abstract","2023JHEP...01..037B")</f>
        <v>2023JHEP...01..037B</v>
      </c>
      <c r="B238" s="2" t="str">
        <f>HYPERLINK("https://ui.adsabs.harvard.edu/abs/2022arXiv221013871B/abstract","2022arXiv221013871B")</f>
        <v>2022arXiv221013871B</v>
      </c>
      <c r="C238" s="1" t="s">
        <v>70</v>
      </c>
      <c r="E238" s="2" t="str">
        <f>HYPERLINK("https://ui.adsabs.harvard.edu/abs/2022arXiv221013871B/abstract","2022arXiv221013871B")</f>
        <v>2022arXiv221013871B</v>
      </c>
      <c r="F238" s="1" t="s">
        <v>432</v>
      </c>
      <c r="G238" s="1" t="s">
        <v>72</v>
      </c>
      <c r="H238" s="1">
        <v>0.9780482</v>
      </c>
      <c r="I238" s="1" t="s">
        <v>433</v>
      </c>
    </row>
    <row r="239">
      <c r="A239" s="2" t="str">
        <f>HYPERLINK("https://ui.adsabs.harvard.edu/abs/2023PhRvA.107a2215M/abstract","2023PhRvA.107a2215M")</f>
        <v>2023PhRvA.107a2215M</v>
      </c>
      <c r="B239" s="2" t="str">
        <f>HYPERLINK("https://ui.adsabs.harvard.edu/abs/2022arXiv221014766M/abstract","2022arXiv221014766M")</f>
        <v>2022arXiv221014766M</v>
      </c>
      <c r="C239" s="1" t="s">
        <v>70</v>
      </c>
      <c r="E239" s="2" t="str">
        <f>HYPERLINK("https://ui.adsabs.harvard.edu/abs/2022arXiv221014766M/abstract","2022arXiv221014766M")</f>
        <v>2022arXiv221014766M</v>
      </c>
      <c r="F239" s="1" t="s">
        <v>434</v>
      </c>
      <c r="G239" s="1" t="s">
        <v>72</v>
      </c>
      <c r="H239" s="1">
        <v>0.9780482</v>
      </c>
      <c r="I239" s="1" t="s">
        <v>433</v>
      </c>
    </row>
    <row r="240">
      <c r="A240" s="2" t="str">
        <f>HYPERLINK("https://ui.adsabs.harvard.edu/abs/2023PhRvB.107d5130Y/abstract","2023PhRvB.107d5130Y")</f>
        <v>2023PhRvB.107d5130Y</v>
      </c>
      <c r="B240" s="2" t="str">
        <f>HYPERLINK("https://ui.adsabs.harvard.edu/abs/2022arXiv220316480Y/abstract","2022arXiv220316480Y")</f>
        <v>2022arXiv220316480Y</v>
      </c>
      <c r="C240" s="1" t="s">
        <v>70</v>
      </c>
      <c r="E240" s="2" t="str">
        <f>HYPERLINK("https://ui.adsabs.harvard.edu/abs/2022arXiv220316480Y/abstract","2022arXiv220316480Y")</f>
        <v>2022arXiv220316480Y</v>
      </c>
      <c r="F240" s="1" t="s">
        <v>435</v>
      </c>
      <c r="G240" s="1" t="s">
        <v>72</v>
      </c>
      <c r="H240" s="1">
        <v>0.9780482</v>
      </c>
      <c r="I240" s="1" t="s">
        <v>433</v>
      </c>
    </row>
    <row r="241">
      <c r="A241" s="2" t="str">
        <f>HYPERLINK("https://ui.adsabs.harvard.edu/abs/2023PhRvL.130d3601S/abstract","2023PhRvL.130d3601S")</f>
        <v>2023PhRvL.130d3601S</v>
      </c>
      <c r="E241" s="2" t="str">
        <f>HYPERLINK("https://ui.adsabs.harvard.edu/abs/2022arXiv220400632S/abstract","2022arXiv220400632S")</f>
        <v>2022arXiv220400632S</v>
      </c>
      <c r="F241" s="1" t="s">
        <v>436</v>
      </c>
      <c r="G241" s="1" t="s">
        <v>72</v>
      </c>
      <c r="H241" s="1">
        <v>0.9780482</v>
      </c>
      <c r="I241" s="1" t="s">
        <v>433</v>
      </c>
    </row>
    <row r="242">
      <c r="A242" s="2" t="str">
        <f>HYPERLINK("https://ui.adsabs.harvard.edu/abs/2023CQGra..40d5003G/abstract","2023CQGra..40d5003G")</f>
        <v>2023CQGra..40d5003G</v>
      </c>
      <c r="B242" s="2" t="str">
        <f>HYPERLINK("https://ui.adsabs.harvard.edu/abs/2022arXiv220502801G/abstract","2022arXiv220502801G")</f>
        <v>2022arXiv220502801G</v>
      </c>
      <c r="C242" s="1" t="s">
        <v>70</v>
      </c>
      <c r="E242" s="2" t="str">
        <f>HYPERLINK("https://ui.adsabs.harvard.edu/abs/2022arXiv220502801G/abstract","2022arXiv220502801G")</f>
        <v>2022arXiv220502801G</v>
      </c>
      <c r="F242" s="1" t="s">
        <v>437</v>
      </c>
      <c r="G242" s="1" t="s">
        <v>72</v>
      </c>
      <c r="H242" s="1">
        <v>0.9780482</v>
      </c>
      <c r="I242" s="1" t="s">
        <v>433</v>
      </c>
    </row>
    <row r="243">
      <c r="A243" s="2" t="str">
        <f>HYPERLINK("https://ui.adsabs.harvard.edu/abs/2023PhRvD.107b3016N/abstract","2023PhRvD.107b3016N")</f>
        <v>2023PhRvD.107b3016N</v>
      </c>
      <c r="B243" s="2" t="str">
        <f>HYPERLINK("https://ui.adsabs.harvard.edu/abs/2022arXiv220813460N/abstract","2022arXiv220813460N")</f>
        <v>2022arXiv220813460N</v>
      </c>
      <c r="C243" s="1" t="s">
        <v>70</v>
      </c>
      <c r="E243" s="2" t="str">
        <f>HYPERLINK("https://ui.adsabs.harvard.edu/abs/2022arXiv220813460N/abstract","2022arXiv220813460N")</f>
        <v>2022arXiv220813460N</v>
      </c>
      <c r="F243" s="1" t="s">
        <v>438</v>
      </c>
      <c r="G243" s="1" t="s">
        <v>72</v>
      </c>
      <c r="H243" s="1">
        <v>0.9783416</v>
      </c>
      <c r="I243" s="1" t="s">
        <v>439</v>
      </c>
    </row>
    <row r="244">
      <c r="A244" s="2" t="str">
        <f>HYPERLINK("https://ui.adsabs.harvard.edu/abs/2023PatRe.13709312Z/abstract","2023PatRe.13709312Z")</f>
        <v>2023PatRe.13709312Z</v>
      </c>
      <c r="E244" s="2" t="str">
        <f>HYPERLINK("https://ui.adsabs.harvard.edu/abs/2021arXiv210300373Z/abstract","2021arXiv210300373Z")</f>
        <v>2021arXiv210300373Z</v>
      </c>
      <c r="F244" s="1" t="s">
        <v>440</v>
      </c>
      <c r="G244" s="1" t="s">
        <v>72</v>
      </c>
      <c r="H244" s="1">
        <v>0.9784305</v>
      </c>
      <c r="I244" s="1" t="s">
        <v>441</v>
      </c>
    </row>
    <row r="245">
      <c r="A245" s="2" t="str">
        <f>HYPERLINK("https://ui.adsabs.harvard.edu/abs/2023PRXQ....4a0309D/abstract","2023PRXQ....4a0309D")</f>
        <v>2023PRXQ....4a0309D</v>
      </c>
      <c r="B245" s="2" t="str">
        <f>HYPERLINK("https://ui.adsabs.harvard.edu/abs/2022arXiv220403455D/abstract","2022arXiv220403455D")</f>
        <v>2022arXiv220403455D</v>
      </c>
      <c r="C245" s="1" t="s">
        <v>70</v>
      </c>
      <c r="E245" s="2" t="str">
        <f>HYPERLINK("https://ui.adsabs.harvard.edu/abs/2022arXiv220403455D/abstract","2022arXiv220403455D")</f>
        <v>2022arXiv220403455D</v>
      </c>
      <c r="F245" s="1" t="s">
        <v>442</v>
      </c>
      <c r="G245" s="1" t="s">
        <v>72</v>
      </c>
      <c r="H245" s="1">
        <v>0.9786065</v>
      </c>
      <c r="I245" s="1" t="s">
        <v>443</v>
      </c>
    </row>
    <row r="246">
      <c r="A246" s="2" t="str">
        <f>HYPERLINK("https://ui.adsabs.harvard.edu/abs/2023PhRvM...7a4003S/abstract","2023PhRvM...7a4003S")</f>
        <v>2023PhRvM...7a4003S</v>
      </c>
      <c r="E246" s="2" t="str">
        <f>HYPERLINK("https://ui.adsabs.harvard.edu/abs/2022arXiv221100521S/abstract","2022arXiv221100521S")</f>
        <v>2022arXiv221100521S</v>
      </c>
      <c r="F246" s="1" t="s">
        <v>444</v>
      </c>
      <c r="G246" s="1" t="s">
        <v>72</v>
      </c>
      <c r="H246" s="1">
        <v>0.9787045</v>
      </c>
      <c r="I246" s="1" t="s">
        <v>445</v>
      </c>
    </row>
    <row r="247">
      <c r="A247" s="2" t="str">
        <f>HYPERLINK("https://ui.adsabs.harvard.edu/abs/2023JHEP...01..082Z/abstract","2023JHEP...01..082Z")</f>
        <v>2023JHEP...01..082Z</v>
      </c>
      <c r="E247" s="2" t="str">
        <f>HYPERLINK("https://ui.adsabs.harvard.edu/abs/2022arXiv220800944S/abstract","2022arXiv220800944S")</f>
        <v>2022arXiv220800944S</v>
      </c>
      <c r="F247" s="1" t="s">
        <v>446</v>
      </c>
      <c r="G247" s="1" t="s">
        <v>72</v>
      </c>
      <c r="H247" s="1">
        <v>0.9790633</v>
      </c>
      <c r="I247" s="1" t="s">
        <v>447</v>
      </c>
    </row>
    <row r="248">
      <c r="A248" s="2" t="str">
        <f>HYPERLINK("https://ui.adsabs.harvard.edu/abs/2023PhRvR...5a3018H/abstract","2023PhRvR...5a3018H")</f>
        <v>2023PhRvR...5a3018H</v>
      </c>
      <c r="E248" s="2" t="str">
        <f>HYPERLINK("https://ui.adsabs.harvard.edu/abs/2021arXiv210910142H/abstract","2021arXiv210910142H")</f>
        <v>2021arXiv210910142H</v>
      </c>
      <c r="F248" s="1" t="s">
        <v>448</v>
      </c>
      <c r="G248" s="1" t="s">
        <v>72</v>
      </c>
      <c r="H248" s="1">
        <v>0.9792627</v>
      </c>
      <c r="I248" s="1" t="s">
        <v>449</v>
      </c>
    </row>
    <row r="249">
      <c r="A249" s="2" t="str">
        <f>HYPERLINK("https://ui.adsabs.harvard.edu/abs/2023PhRvR...5a3026M/abstract","2023PhRvR...5a3026M")</f>
        <v>2023PhRvR...5a3026M</v>
      </c>
      <c r="E249" s="2" t="str">
        <f>HYPERLINK("https://ui.adsabs.harvard.edu/abs/2021arXiv211210789M/abstract","2021arXiv211210789M")</f>
        <v>2021arXiv211210789M</v>
      </c>
      <c r="F249" s="1" t="s">
        <v>450</v>
      </c>
      <c r="G249" s="1" t="s">
        <v>72</v>
      </c>
      <c r="H249" s="1">
        <v>0.9792627</v>
      </c>
      <c r="I249" s="1" t="s">
        <v>449</v>
      </c>
    </row>
    <row r="250">
      <c r="A250" s="2" t="str">
        <f>HYPERLINK("https://ui.adsabs.harvard.edu/abs/2023ApJS..264...29A/abstract","2023ApJS..264...29A")</f>
        <v>2023ApJS..264...29A</v>
      </c>
      <c r="B250" s="2" t="str">
        <f>HYPERLINK("https://ui.adsabs.harvard.edu/abs/2022arXiv220705819A/abstract","2022arXiv220705819A")</f>
        <v>2022arXiv220705819A</v>
      </c>
      <c r="C250" s="1" t="s">
        <v>70</v>
      </c>
      <c r="E250" s="2" t="str">
        <f>HYPERLINK("https://ui.adsabs.harvard.edu/abs/2022arXiv220705819A/abstract","2022arXiv220705819A")</f>
        <v>2022arXiv220705819A</v>
      </c>
      <c r="F250" s="1" t="s">
        <v>451</v>
      </c>
      <c r="G250" s="1" t="s">
        <v>72</v>
      </c>
      <c r="H250" s="1">
        <v>0.9793022</v>
      </c>
      <c r="I250" s="1" t="s">
        <v>452</v>
      </c>
    </row>
    <row r="251">
      <c r="A251" s="2" t="str">
        <f>HYPERLINK("https://ui.adsabs.harvard.edu/abs/2023PhRvD.107a5014G/abstract","2023PhRvD.107a5014G")</f>
        <v>2023PhRvD.107a5014G</v>
      </c>
      <c r="B251" s="2" t="str">
        <f>HYPERLINK("https://ui.adsabs.harvard.edu/abs/2022arXiv221106270G/abstract","2022arXiv221106270G")</f>
        <v>2022arXiv221106270G</v>
      </c>
      <c r="C251" s="1" t="s">
        <v>70</v>
      </c>
      <c r="E251" s="2" t="str">
        <f>HYPERLINK("https://ui.adsabs.harvard.edu/abs/2022arXiv221106270G/abstract","2022arXiv221106270G")</f>
        <v>2022arXiv221106270G</v>
      </c>
      <c r="F251" s="1" t="s">
        <v>453</v>
      </c>
      <c r="G251" s="1" t="s">
        <v>72</v>
      </c>
      <c r="H251" s="1">
        <v>0.9793022</v>
      </c>
      <c r="I251" s="1" t="s">
        <v>452</v>
      </c>
    </row>
    <row r="252">
      <c r="A252" s="2" t="str">
        <f>HYPERLINK("https://ui.adsabs.harvard.edu/abs/2023PhRvD.107b5011K/abstract","2023PhRvD.107b5011K")</f>
        <v>2023PhRvD.107b5011K</v>
      </c>
      <c r="B252" s="2" t="str">
        <f>HYPERLINK("https://ui.adsabs.harvard.edu/abs/2022arXiv220714510K/abstract","2022arXiv220714510K")</f>
        <v>2022arXiv220714510K</v>
      </c>
      <c r="C252" s="1" t="s">
        <v>70</v>
      </c>
      <c r="E252" s="2" t="str">
        <f>HYPERLINK("https://ui.adsabs.harvard.edu/abs/2022arXiv220714510K/abstract","2022arXiv220714510K")</f>
        <v>2022arXiv220714510K</v>
      </c>
      <c r="F252" s="1" t="s">
        <v>454</v>
      </c>
      <c r="G252" s="1" t="s">
        <v>72</v>
      </c>
      <c r="H252" s="1">
        <v>0.9793022</v>
      </c>
      <c r="I252" s="1" t="s">
        <v>452</v>
      </c>
    </row>
    <row r="253">
      <c r="A253" s="2" t="str">
        <f>HYPERLINK("https://ui.adsabs.harvard.edu/abs/2023PhRvL.130c8201V/abstract","2023PhRvL.130c8201V")</f>
        <v>2023PhRvL.130c8201V</v>
      </c>
      <c r="B253" s="2" t="str">
        <f>HYPERLINK("https://ui.adsabs.harvard.edu/abs/2022arXiv220607413V/abstract","2022arXiv220607413V")</f>
        <v>2022arXiv220607413V</v>
      </c>
      <c r="C253" s="1" t="s">
        <v>70</v>
      </c>
      <c r="E253" s="2" t="str">
        <f>HYPERLINK("https://ui.adsabs.harvard.edu/abs/2022arXiv220607413V/abstract","2022arXiv220607413V")</f>
        <v>2022arXiv220607413V</v>
      </c>
      <c r="F253" s="1" t="s">
        <v>455</v>
      </c>
      <c r="G253" s="1" t="s">
        <v>72</v>
      </c>
      <c r="H253" s="1">
        <v>0.9793022</v>
      </c>
      <c r="I253" s="1" t="s">
        <v>452</v>
      </c>
    </row>
    <row r="254">
      <c r="A254" s="2" t="str">
        <f>HYPERLINK("https://ui.adsabs.harvard.edu/abs/2023PRXQ....4a0306W/abstract","2023PRXQ....4a0306W")</f>
        <v>2023PRXQ....4a0306W</v>
      </c>
      <c r="B254" s="2" t="str">
        <f>HYPERLINK("https://ui.adsabs.harvard.edu/abs/2022arXiv220309392W/abstract","2022arXiv220309392W")</f>
        <v>2022arXiv220309392W</v>
      </c>
      <c r="C254" s="1" t="s">
        <v>70</v>
      </c>
      <c r="E254" s="2" t="str">
        <f>HYPERLINK("https://ui.adsabs.harvard.edu/abs/2022arXiv220309392W/abstract","2022arXiv220309392W")</f>
        <v>2022arXiv220309392W</v>
      </c>
      <c r="F254" s="1" t="s">
        <v>456</v>
      </c>
      <c r="G254" s="1" t="s">
        <v>72</v>
      </c>
      <c r="H254" s="1">
        <v>0.9793022</v>
      </c>
      <c r="I254" s="1" t="s">
        <v>452</v>
      </c>
    </row>
    <row r="255">
      <c r="A255" s="2" t="str">
        <f>HYPERLINK("https://ui.adsabs.harvard.edu/abs/2019Quant...3..175M/abstract","2019Quant...3..175M")</f>
        <v>2019Quant...3..175M</v>
      </c>
      <c r="E255" s="2" t="str">
        <f>HYPERLINK("https://ui.adsabs.harvard.edu/abs/2018arXiv180909010H/abstract","2018arXiv180909010H")</f>
        <v>2018arXiv180909010H</v>
      </c>
      <c r="G255" s="1" t="s">
        <v>72</v>
      </c>
      <c r="H255" s="1">
        <v>0.9794614</v>
      </c>
      <c r="I255" s="1" t="s">
        <v>457</v>
      </c>
    </row>
    <row r="256">
      <c r="A256" s="2" t="str">
        <f>HYPERLINK("https://ui.adsabs.harvard.edu/abs/2019Quant...3..203D/abstract","2019Quant...3..203D")</f>
        <v>2019Quant...3..203D</v>
      </c>
      <c r="B256" s="2" t="str">
        <f>HYPERLINK("https://ui.adsabs.harvard.edu/abs/2019arXiv190305373D/abstract","2019arXiv190305373D")</f>
        <v>2019arXiv190305373D</v>
      </c>
      <c r="C256" s="1" t="s">
        <v>70</v>
      </c>
      <c r="E256" s="2" t="str">
        <f>HYPERLINK("https://ui.adsabs.harvard.edu/abs/2019arXiv190305373D/abstract","2019arXiv190305373D")</f>
        <v>2019arXiv190305373D</v>
      </c>
      <c r="G256" s="1" t="s">
        <v>72</v>
      </c>
      <c r="H256" s="1">
        <v>0.9794614</v>
      </c>
      <c r="I256" s="1" t="s">
        <v>457</v>
      </c>
    </row>
    <row r="257">
      <c r="A257" s="2" t="str">
        <f>HYPERLINK("https://ui.adsabs.harvard.edu/abs/2021Quant...5..392B/abstract","2021Quant...5..392B")</f>
        <v>2021Quant...5..392B</v>
      </c>
      <c r="B257" s="2" t="str">
        <f>HYPERLINK("https://ui.adsabs.harvard.edu/abs/2020arXiv201002905B/abstract","2020arXiv201002905B")</f>
        <v>2020arXiv201002905B</v>
      </c>
      <c r="C257" s="1" t="s">
        <v>70</v>
      </c>
      <c r="E257" s="2" t="str">
        <f>HYPERLINK("https://ui.adsabs.harvard.edu/abs/2020arXiv201002905B/abstract","2020arXiv201002905B")</f>
        <v>2020arXiv201002905B</v>
      </c>
      <c r="G257" s="1" t="s">
        <v>72</v>
      </c>
      <c r="H257" s="1">
        <v>0.9794614</v>
      </c>
      <c r="I257" s="1" t="s">
        <v>457</v>
      </c>
    </row>
    <row r="258">
      <c r="A258" s="2" t="str">
        <f>HYPERLINK("https://ui.adsabs.harvard.edu/abs/2021Quant...5..398M/abstract","2021Quant...5..398M")</f>
        <v>2021Quant...5..398M</v>
      </c>
      <c r="B258" s="2" t="str">
        <f>HYPERLINK("https://ui.adsabs.harvard.edu/abs/2020arXiv200111516M/abstract","2020arXiv200111516M")</f>
        <v>2020arXiv200111516M</v>
      </c>
      <c r="C258" s="1" t="s">
        <v>70</v>
      </c>
      <c r="E258" s="2" t="str">
        <f>HYPERLINK("https://ui.adsabs.harvard.edu/abs/2020arXiv200111516M/abstract","2020arXiv200111516M")</f>
        <v>2020arXiv200111516M</v>
      </c>
      <c r="G258" s="1" t="s">
        <v>72</v>
      </c>
      <c r="H258" s="1">
        <v>0.9794614</v>
      </c>
      <c r="I258" s="1" t="s">
        <v>457</v>
      </c>
    </row>
    <row r="259">
      <c r="A259" s="2" t="str">
        <f>HYPERLINK("https://ui.adsabs.harvard.edu/abs/2021Quant...5..490U/abstract","2021Quant...5..490U")</f>
        <v>2021Quant...5..490U</v>
      </c>
      <c r="E259" s="2" t="str">
        <f>HYPERLINK("https://ui.adsabs.harvard.edu/abs/2021arXiv210200740R/abstract","2021arXiv210200740R")</f>
        <v>2021arXiv210200740R</v>
      </c>
      <c r="G259" s="1" t="s">
        <v>72</v>
      </c>
      <c r="H259" s="1">
        <v>0.9794614</v>
      </c>
      <c r="I259" s="1" t="s">
        <v>457</v>
      </c>
    </row>
    <row r="260">
      <c r="A260" s="2" t="str">
        <f>HYPERLINK("https://ui.adsabs.harvard.edu/abs/2022Quant...6..820A/abstract","2022Quant...6..820A")</f>
        <v>2022Quant...6..820A</v>
      </c>
      <c r="B260" s="2" t="str">
        <f>HYPERLINK("https://ui.adsabs.harvard.edu/abs/2022arXiv220305582A/abstract","2022arXiv220305582A")</f>
        <v>2022arXiv220305582A</v>
      </c>
      <c r="C260" s="1" t="s">
        <v>70</v>
      </c>
      <c r="E260" s="2" t="str">
        <f>HYPERLINK("https://ui.adsabs.harvard.edu/abs/2022arXiv220305582A/abstract","2022arXiv220305582A")</f>
        <v>2022arXiv220305582A</v>
      </c>
      <c r="G260" s="1" t="s">
        <v>72</v>
      </c>
      <c r="H260" s="1">
        <v>0.9794614</v>
      </c>
      <c r="I260" s="1" t="s">
        <v>457</v>
      </c>
    </row>
    <row r="261">
      <c r="A261" s="2" t="str">
        <f>HYPERLINK("https://ui.adsabs.harvard.edu/abs/2023EP&amp;S...75....5D/abstract","2023EP&amp;S...75....5D")</f>
        <v>2023EP&amp;S...75....5D</v>
      </c>
      <c r="B261" s="2" t="str">
        <f>HYPERLINK("https://ui.adsabs.harvard.edu/abs/2022arXiv220915298D/abstract","2022arXiv220915298D")</f>
        <v>2022arXiv220915298D</v>
      </c>
      <c r="C261" s="1" t="s">
        <v>70</v>
      </c>
      <c r="E261" s="2" t="str">
        <f>HYPERLINK("https://ui.adsabs.harvard.edu/abs/2022arXiv220915298D/abstract","2022arXiv220915298D")</f>
        <v>2022arXiv220915298D</v>
      </c>
      <c r="F261" s="1" t="s">
        <v>458</v>
      </c>
      <c r="G261" s="1" t="s">
        <v>72</v>
      </c>
      <c r="H261" s="1">
        <v>0.9795417</v>
      </c>
      <c r="I261" s="1" t="s">
        <v>459</v>
      </c>
    </row>
    <row r="262">
      <c r="A262" s="2" t="str">
        <f>HYPERLINK("https://ui.adsabs.harvard.edu/abs/2023PhRvP..19a4053O/abstract","2023PhRvP..19a4053O")</f>
        <v>2023PhRvP..19a4053O</v>
      </c>
      <c r="B262" s="2" t="str">
        <f>HYPERLINK("https://ui.adsabs.harvard.edu/abs/2022arXiv221109095O/abstract","2022arXiv221109095O")</f>
        <v>2022arXiv221109095O</v>
      </c>
      <c r="C262" s="1" t="s">
        <v>70</v>
      </c>
      <c r="E262" s="2" t="str">
        <f>HYPERLINK("https://ui.adsabs.harvard.edu/abs/2022arXiv221109095O/abstract","2022arXiv221109095O")</f>
        <v>2022arXiv221109095O</v>
      </c>
      <c r="F262" s="1" t="s">
        <v>460</v>
      </c>
      <c r="G262" s="1" t="s">
        <v>72</v>
      </c>
      <c r="H262" s="1">
        <v>0.9796729</v>
      </c>
      <c r="I262" s="1" t="s">
        <v>461</v>
      </c>
    </row>
    <row r="263">
      <c r="A263" s="2" t="str">
        <f>HYPERLINK("https://ui.adsabs.harvard.edu/abs/2023MRSCo.tmp....9R/abstract","2023MRSCo.tmp....9R")</f>
        <v>2023MRSCo.tmp....9R</v>
      </c>
      <c r="E263" s="2" t="str">
        <f>HYPERLINK("https://ui.adsabs.harvard.edu/abs/2022arXiv220913949R/abstract","2022arXiv220913949R")</f>
        <v>2022arXiv220913949R</v>
      </c>
      <c r="F263" s="1" t="s">
        <v>462</v>
      </c>
      <c r="G263" s="1" t="s">
        <v>72</v>
      </c>
      <c r="H263" s="1">
        <v>0.9798836</v>
      </c>
      <c r="I263" s="1" t="s">
        <v>463</v>
      </c>
    </row>
    <row r="264">
      <c r="A264" s="2" t="str">
        <f>HYPERLINK("https://ui.adsabs.harvard.edu/abs/2023PhRvA.107a2810Y/abstract","2023PhRvA.107a2810Y")</f>
        <v>2023PhRvA.107a2810Y</v>
      </c>
      <c r="B264" s="2" t="str">
        <f>HYPERLINK("https://ui.adsabs.harvard.edu/abs/2022arXiv221117062Y/abstract","2022arXiv221117062Y")</f>
        <v>2022arXiv221117062Y</v>
      </c>
      <c r="C264" s="1" t="s">
        <v>70</v>
      </c>
      <c r="E264" s="2" t="str">
        <f>HYPERLINK("https://ui.adsabs.harvard.edu/abs/2022arXiv221117062Y/abstract","2022arXiv221117062Y")</f>
        <v>2022arXiv221117062Y</v>
      </c>
      <c r="F264" s="1" t="s">
        <v>464</v>
      </c>
      <c r="G264" s="1" t="s">
        <v>72</v>
      </c>
      <c r="H264" s="1">
        <v>0.9798836</v>
      </c>
      <c r="I264" s="1" t="s">
        <v>463</v>
      </c>
    </row>
    <row r="265">
      <c r="A265" s="2" t="str">
        <f>HYPERLINK("https://ui.adsabs.harvard.edu/abs/2023PhRvB.107a4204L/abstract","2023PhRvB.107a4204L")</f>
        <v>2023PhRvB.107a4204L</v>
      </c>
      <c r="B265" s="2" t="str">
        <f>HYPERLINK("https://ui.adsabs.harvard.edu/abs/2022arXiv220811930L/abstract","2022arXiv220811930L")</f>
        <v>2022arXiv220811930L</v>
      </c>
      <c r="C265" s="1" t="s">
        <v>70</v>
      </c>
      <c r="E265" s="2" t="str">
        <f>HYPERLINK("https://ui.adsabs.harvard.edu/abs/2022arXiv220811930L/abstract","2022arXiv220811930L")</f>
        <v>2022arXiv220811930L</v>
      </c>
      <c r="F265" s="1" t="s">
        <v>465</v>
      </c>
      <c r="G265" s="1" t="s">
        <v>72</v>
      </c>
      <c r="H265" s="1">
        <v>0.9798836</v>
      </c>
      <c r="I265" s="1" t="s">
        <v>463</v>
      </c>
    </row>
    <row r="266">
      <c r="A266" s="2" t="str">
        <f>HYPERLINK("https://ui.adsabs.harvard.edu/abs/2023PRXQ....4a0201S/abstract","2023PRXQ....4a0201S")</f>
        <v>2023PRXQ....4a0201S</v>
      </c>
      <c r="B266" s="2" t="str">
        <f>HYPERLINK("https://ui.adsabs.harvard.edu/abs/2022arXiv220604308S/abstract","2022arXiv220604308S")</f>
        <v>2022arXiv220604308S</v>
      </c>
      <c r="C266" s="1" t="s">
        <v>70</v>
      </c>
      <c r="E266" s="2" t="str">
        <f>HYPERLINK("https://ui.adsabs.harvard.edu/abs/2022arXiv220604308S/abstract","2022arXiv220604308S")</f>
        <v>2022arXiv220604308S</v>
      </c>
      <c r="F266" s="1" t="s">
        <v>466</v>
      </c>
      <c r="G266" s="1" t="s">
        <v>72</v>
      </c>
      <c r="H266" s="1">
        <v>0.9798836</v>
      </c>
      <c r="I266" s="1" t="s">
        <v>463</v>
      </c>
    </row>
    <row r="267">
      <c r="A267" s="2" t="str">
        <f>HYPERLINK("https://ui.adsabs.harvard.edu/abs/2023Entrp..25..204B/abstract","2023Entrp..25..204B")</f>
        <v>2023Entrp..25..204B</v>
      </c>
      <c r="B267" s="2" t="str">
        <f>HYPERLINK("https://ui.adsabs.harvard.edu/abs/2022arXiv221201502B/abstract","2022arXiv221201502B")</f>
        <v>2022arXiv221201502B</v>
      </c>
      <c r="C267" s="1" t="s">
        <v>70</v>
      </c>
      <c r="E267" s="2" t="str">
        <f>HYPERLINK("https://ui.adsabs.harvard.edu/abs/2022arXiv221201502B/abstract","2022arXiv221201502B")</f>
        <v>2022arXiv221201502B</v>
      </c>
      <c r="F267" s="1" t="s">
        <v>467</v>
      </c>
      <c r="G267" s="1" t="s">
        <v>72</v>
      </c>
      <c r="H267" s="1">
        <v>0.9798836</v>
      </c>
      <c r="I267" s="1" t="s">
        <v>463</v>
      </c>
    </row>
    <row r="268">
      <c r="A268" s="2" t="str">
        <f>HYPERLINK("https://ui.adsabs.harvard.edu/abs/2023IJNME.124..864H/abstract","2023IJNME.124..864H")</f>
        <v>2023IJNME.124..864H</v>
      </c>
      <c r="B268" s="2" t="str">
        <f>HYPERLINK("https://ui.adsabs.harvard.edu/abs/2022arXiv220707216H/abstract","2022arXiv220707216H")</f>
        <v>2022arXiv220707216H</v>
      </c>
      <c r="C268" s="1" t="s">
        <v>70</v>
      </c>
      <c r="E268" s="2" t="str">
        <f>HYPERLINK("https://ui.adsabs.harvard.edu/abs/2022arXiv220707216H/abstract","2022arXiv220707216H")</f>
        <v>2022arXiv220707216H</v>
      </c>
      <c r="G268" s="1" t="s">
        <v>72</v>
      </c>
      <c r="H268" s="1">
        <v>0.980006</v>
      </c>
      <c r="I268" s="1" t="s">
        <v>468</v>
      </c>
    </row>
    <row r="269">
      <c r="A269" s="2" t="str">
        <f>HYPERLINK("https://ui.adsabs.harvard.edu/abs/2023PhRvL.130c6901K/abstract","2023PhRvL.130c6901K")</f>
        <v>2023PhRvL.130c6901K</v>
      </c>
      <c r="E269" s="2" t="str">
        <f>HYPERLINK("https://ui.adsabs.harvard.edu/abs/2021arXiv211215549K/abstract","2021arXiv211215549K")</f>
        <v>2021arXiv211215549K</v>
      </c>
      <c r="F269" s="1" t="s">
        <v>469</v>
      </c>
      <c r="G269" s="1" t="s">
        <v>72</v>
      </c>
      <c r="H269" s="1">
        <v>0.9803261</v>
      </c>
      <c r="I269" s="1" t="s">
        <v>470</v>
      </c>
    </row>
    <row r="270">
      <c r="A270" s="2" t="str">
        <f>HYPERLINK("https://ui.adsabs.harvard.edu/abs/2023npjCM...9....7P/abstract","2023npjCM...9....7P")</f>
        <v>2023npjCM...9....7P</v>
      </c>
      <c r="B270" s="2" t="str">
        <f>HYPERLINK("https://ui.adsabs.harvard.edu/abs/2022arXiv221204811P/abstract","2022arXiv221204811P")</f>
        <v>2022arXiv221204811P</v>
      </c>
      <c r="C270" s="1" t="s">
        <v>70</v>
      </c>
      <c r="E270" s="2" t="str">
        <f>HYPERLINK("https://ui.adsabs.harvard.edu/abs/2022arXiv221204811P/abstract","2022arXiv221204811P")</f>
        <v>2022arXiv221204811P</v>
      </c>
      <c r="F270" s="1" t="s">
        <v>471</v>
      </c>
      <c r="G270" s="1" t="s">
        <v>72</v>
      </c>
      <c r="H270" s="1">
        <v>0.9804489</v>
      </c>
      <c r="I270" s="1" t="s">
        <v>472</v>
      </c>
    </row>
    <row r="271">
      <c r="A271" s="2" t="str">
        <f>HYPERLINK("https://ui.adsabs.harvard.edu/abs/2023MSSP..19010120S/abstract","2023MSSP..19010120S")</f>
        <v>2023MSSP..19010120S</v>
      </c>
      <c r="E271" s="2" t="str">
        <f>HYPERLINK("https://ui.adsabs.harvard.edu/abs/2023arXiv230108716S/abstract","2023arXiv230108716S")</f>
        <v>2023arXiv230108716S</v>
      </c>
      <c r="F271" s="1" t="s">
        <v>473</v>
      </c>
      <c r="G271" s="1" t="s">
        <v>72</v>
      </c>
      <c r="H271" s="1">
        <v>0.9804489</v>
      </c>
      <c r="I271" s="1" t="s">
        <v>472</v>
      </c>
    </row>
    <row r="272">
      <c r="A272" s="2" t="str">
        <f>HYPERLINK("https://ui.adsabs.harvard.edu/abs/2023PhRvE.107a4121C/abstract","2023PhRvE.107a4121C")</f>
        <v>2023PhRvE.107a4121C</v>
      </c>
      <c r="B272" s="2" t="str">
        <f>HYPERLINK("https://ui.adsabs.harvard.edu/abs/2022arXiv220612924C/abstract","2022arXiv220612924C")</f>
        <v>2022arXiv220612924C</v>
      </c>
      <c r="C272" s="1" t="s">
        <v>70</v>
      </c>
      <c r="E272" s="2" t="str">
        <f>HYPERLINK("https://ui.adsabs.harvard.edu/abs/2022arXiv220612924C/abstract","2022arXiv220612924C")</f>
        <v>2022arXiv220612924C</v>
      </c>
      <c r="F272" s="1" t="s">
        <v>474</v>
      </c>
      <c r="G272" s="1" t="s">
        <v>72</v>
      </c>
      <c r="H272" s="1">
        <v>0.9804489</v>
      </c>
      <c r="I272" s="1" t="s">
        <v>472</v>
      </c>
    </row>
    <row r="273">
      <c r="A273" s="2" t="str">
        <f>HYPERLINK("https://ui.adsabs.harvard.edu/abs/2023Entrp..25..188E/abstract","2023Entrp..25..188E")</f>
        <v>2023Entrp..25..188E</v>
      </c>
      <c r="B273" s="2" t="str">
        <f>HYPERLINK("https://ui.adsabs.harvard.edu/abs/2022arXiv221006302E/abstract","2022arXiv221006302E")</f>
        <v>2022arXiv221006302E</v>
      </c>
      <c r="C273" s="1" t="s">
        <v>70</v>
      </c>
      <c r="E273" s="2" t="str">
        <f>HYPERLINK("https://ui.adsabs.harvard.edu/abs/2022arXiv221006302E/abstract","2022arXiv221006302E")</f>
        <v>2022arXiv221006302E</v>
      </c>
      <c r="F273" s="1" t="s">
        <v>475</v>
      </c>
      <c r="G273" s="1" t="s">
        <v>72</v>
      </c>
      <c r="H273" s="1">
        <v>0.9804489</v>
      </c>
      <c r="I273" s="1" t="s">
        <v>472</v>
      </c>
    </row>
    <row r="274">
      <c r="A274" s="2" t="str">
        <f>HYPERLINK("https://ui.adsabs.harvard.edu/abs/2022MiMic..28.1567D/abstract","2022MiMic..28.1567D")</f>
        <v>2022MiMic..28.1567D</v>
      </c>
      <c r="B274" s="2" t="str">
        <f>HYPERLINK("https://ui.adsabs.harvard.edu/abs/2022arXiv220308294D/abstract","2022arXiv220308294D")</f>
        <v>2022arXiv220308294D</v>
      </c>
      <c r="C274" s="1" t="s">
        <v>70</v>
      </c>
      <c r="E274" s="2" t="str">
        <f>HYPERLINK("https://ui.adsabs.harvard.edu/abs/2022arXiv220308294D/abstract","2022arXiv220308294D")</f>
        <v>2022arXiv220308294D</v>
      </c>
      <c r="F274" s="1" t="s">
        <v>476</v>
      </c>
      <c r="G274" s="1" t="s">
        <v>72</v>
      </c>
      <c r="H274" s="1">
        <v>0.9804489</v>
      </c>
      <c r="I274" s="1" t="s">
        <v>472</v>
      </c>
    </row>
    <row r="275">
      <c r="A275" s="2" t="str">
        <f>HYPERLINK("https://ui.adsabs.harvard.edu/abs/2023ChPhL..40b0501Y/abstract","2023ChPhL..40b0501Y")</f>
        <v>2023ChPhL..40b0501Y</v>
      </c>
      <c r="B275" s="2" t="str">
        <f>HYPERLINK("https://ui.adsabs.harvard.edu/abs/2022arXiv221101779Y/abstract","2022arXiv221101779Y")</f>
        <v>2022arXiv221101779Y</v>
      </c>
      <c r="C275" s="1" t="s">
        <v>70</v>
      </c>
      <c r="E275" s="2" t="str">
        <f>HYPERLINK("https://ui.adsabs.harvard.edu/abs/2022arXiv221101779Y/abstract","2022arXiv221101779Y")</f>
        <v>2022arXiv221101779Y</v>
      </c>
      <c r="F275" s="1" t="s">
        <v>477</v>
      </c>
      <c r="G275" s="1" t="s">
        <v>72</v>
      </c>
      <c r="H275" s="1">
        <v>0.9804489</v>
      </c>
      <c r="I275" s="1" t="s">
        <v>472</v>
      </c>
    </row>
    <row r="276">
      <c r="A276" s="2" t="str">
        <f>HYPERLINK("https://ui.adsabs.harvard.edu/abs/2023PhFl...35a6119H/abstract","2023PhFl...35a6119H")</f>
        <v>2023PhFl...35a6119H</v>
      </c>
      <c r="B276" s="2" t="str">
        <f>HYPERLINK("https://ui.adsabs.harvard.edu/abs/2022arXiv220805108H/abstract","2022arXiv220805108H")</f>
        <v>2022arXiv220805108H</v>
      </c>
      <c r="C276" s="1" t="s">
        <v>70</v>
      </c>
      <c r="E276" s="2" t="str">
        <f>HYPERLINK("https://ui.adsabs.harvard.edu/abs/2022arXiv220805108H/abstract","2022arXiv220805108H")</f>
        <v>2022arXiv220805108H</v>
      </c>
      <c r="F276" s="1" t="s">
        <v>478</v>
      </c>
      <c r="G276" s="1" t="s">
        <v>72</v>
      </c>
      <c r="H276" s="1">
        <v>0.980486</v>
      </c>
      <c r="I276" s="1" t="s">
        <v>479</v>
      </c>
    </row>
    <row r="277">
      <c r="A277" s="2" t="str">
        <f>HYPERLINK("https://ui.adsabs.harvard.edu/abs/2023ITAP...71..809A/abstract","2023ITAP...71..809A")</f>
        <v>2023ITAP...71..809A</v>
      </c>
      <c r="B277" s="2" t="str">
        <f>HYPERLINK("https://ui.adsabs.harvard.edu/abs/2022arXiv220113223A/abstract","2022arXiv220113223A")</f>
        <v>2022arXiv220113223A</v>
      </c>
      <c r="C277" s="1" t="s">
        <v>70</v>
      </c>
      <c r="E277" s="2" t="str">
        <f>HYPERLINK("https://ui.adsabs.harvard.edu/abs/2022arXiv220113223A/abstract","2022arXiv220113223A")</f>
        <v>2022arXiv220113223A</v>
      </c>
      <c r="F277" s="1" t="s">
        <v>480</v>
      </c>
      <c r="G277" s="1" t="s">
        <v>72</v>
      </c>
      <c r="H277" s="1">
        <v>0.9804975</v>
      </c>
      <c r="I277" s="1" t="s">
        <v>481</v>
      </c>
    </row>
    <row r="278">
      <c r="A278" s="2" t="str">
        <f>HYPERLINK("https://ui.adsabs.harvard.edu/abs/2023NatPh..19...61A/abstract","2023NatPh..19...61A")</f>
        <v>2023NatPh..19...61A</v>
      </c>
      <c r="E278" s="2" t="str">
        <f>HYPERLINK("https://ui.adsabs.harvard.edu/abs/2022arXiv220201549A/abstract","2022arXiv220201549A")</f>
        <v>2022arXiv220201549A</v>
      </c>
      <c r="G278" s="1" t="s">
        <v>72</v>
      </c>
      <c r="H278" s="1">
        <v>0.9807694</v>
      </c>
      <c r="I278" s="1" t="s">
        <v>75</v>
      </c>
    </row>
    <row r="279">
      <c r="A279" s="2" t="str">
        <f>HYPERLINK("https://ui.adsabs.harvard.edu/abs/2023JFM...955A..21C/abstract","2023JFM...955A..21C")</f>
        <v>2023JFM...955A..21C</v>
      </c>
      <c r="B279" s="2" t="str">
        <f>HYPERLINK("https://ui.adsabs.harvard.edu/abs/2022arXiv220509779C/abstract","2022arXiv220509779C")</f>
        <v>2022arXiv220509779C</v>
      </c>
      <c r="C279" s="1" t="s">
        <v>70</v>
      </c>
      <c r="E279" s="2" t="str">
        <f>HYPERLINK("https://ui.adsabs.harvard.edu/abs/2022arXiv220509779C/abstract","2022arXiv220509779C")</f>
        <v>2022arXiv220509779C</v>
      </c>
      <c r="F279" s="1" t="s">
        <v>482</v>
      </c>
      <c r="G279" s="1" t="s">
        <v>72</v>
      </c>
      <c r="H279" s="1">
        <v>0.9810348</v>
      </c>
      <c r="I279" s="1" t="s">
        <v>483</v>
      </c>
    </row>
    <row r="280">
      <c r="A280" s="2" t="str">
        <f>HYPERLINK("https://ui.adsabs.harvard.edu/abs/2023PhRvL.130c1901L/abstract","2023PhRvL.130c1901L")</f>
        <v>2023PhRvL.130c1901L</v>
      </c>
      <c r="E280" s="2" t="str">
        <f>HYPERLINK("https://ui.adsabs.harvard.edu/abs/2022arXiv220608822B/abstract","2022arXiv220608822B")</f>
        <v>2022arXiv220608822B</v>
      </c>
      <c r="G280" s="1" t="s">
        <v>72</v>
      </c>
      <c r="H280" s="1">
        <v>0.9811222</v>
      </c>
      <c r="I280" s="1" t="s">
        <v>484</v>
      </c>
    </row>
    <row r="281">
      <c r="A281" s="2" t="str">
        <f>HYPERLINK("https://ui.adsabs.harvard.edu/abs/2023NatMa..22...58Z/abstract","2023NatMa..22...58Z")</f>
        <v>2023NatMa..22...58Z</v>
      </c>
      <c r="E281" s="2" t="str">
        <f>HYPERLINK("https://ui.adsabs.harvard.edu/abs/2021arXiv210613418Z/abstract","2021arXiv210613418Z")</f>
        <v>2021arXiv210613418Z</v>
      </c>
      <c r="G281" s="1" t="s">
        <v>72</v>
      </c>
      <c r="H281" s="1">
        <v>0.9811321</v>
      </c>
      <c r="I281" s="1" t="s">
        <v>485</v>
      </c>
    </row>
    <row r="282">
      <c r="A282" s="2" t="str">
        <f>HYPERLINK("https://ui.adsabs.harvard.edu/abs/2023PhRvF...8a4704B/abstract","2023PhRvF...8a4704B")</f>
        <v>2023PhRvF...8a4704B</v>
      </c>
      <c r="B282" s="2" t="str">
        <f>HYPERLINK("https://ui.adsabs.harvard.edu/abs/2022arXiv220508432B/abstract","2022arXiv220508432B")</f>
        <v>2022arXiv220508432B</v>
      </c>
      <c r="C282" s="1" t="s">
        <v>70</v>
      </c>
      <c r="E282" s="2" t="str">
        <f>HYPERLINK("https://ui.adsabs.harvard.edu/abs/2022arXiv220508432B/abstract","2022arXiv220508432B")</f>
        <v>2022arXiv220508432B</v>
      </c>
      <c r="F282" s="1" t="s">
        <v>486</v>
      </c>
      <c r="G282" s="1" t="s">
        <v>72</v>
      </c>
      <c r="H282" s="1">
        <v>0.9815683</v>
      </c>
      <c r="I282" s="1" t="s">
        <v>487</v>
      </c>
    </row>
    <row r="283">
      <c r="A283" s="2" t="str">
        <f>HYPERLINK("https://ui.adsabs.harvard.edu/abs/2023PRXQ....4a0308C/abstract","2023PRXQ....4a0308C")</f>
        <v>2023PRXQ....4a0308C</v>
      </c>
      <c r="B283" s="2" t="str">
        <f>HYPERLINK("https://ui.adsabs.harvard.edu/abs/2022arXiv220702333C/abstract","2022arXiv220702333C")</f>
        <v>2022arXiv220702333C</v>
      </c>
      <c r="C283" s="1" t="s">
        <v>70</v>
      </c>
      <c r="E283" s="2" t="str">
        <f>HYPERLINK("https://ui.adsabs.harvard.edu/abs/2022arXiv220702333C/abstract","2022arXiv220702333C")</f>
        <v>2022arXiv220702333C</v>
      </c>
      <c r="F283" s="1" t="s">
        <v>488</v>
      </c>
      <c r="G283" s="1" t="s">
        <v>72</v>
      </c>
      <c r="H283" s="1">
        <v>0.9815683</v>
      </c>
      <c r="I283" s="1" t="s">
        <v>487</v>
      </c>
    </row>
    <row r="284">
      <c r="A284" s="2" t="str">
        <f>HYPERLINK("https://ui.adsabs.harvard.edu/abs/2023PhRvR...5a3033J/abstract","2023PhRvR...5a3033J")</f>
        <v>2023PhRvR...5a3033J</v>
      </c>
      <c r="B284" s="2" t="str">
        <f>HYPERLINK("https://ui.adsabs.harvard.edu/abs/2022arXiv220613985J/abstract","2022arXiv220613985J")</f>
        <v>2022arXiv220613985J</v>
      </c>
      <c r="C284" s="1" t="s">
        <v>70</v>
      </c>
      <c r="E284" s="2" t="str">
        <f>HYPERLINK("https://ui.adsabs.harvard.edu/abs/2022arXiv220613985J/abstract","2022arXiv220613985J")</f>
        <v>2022arXiv220613985J</v>
      </c>
      <c r="F284" s="1" t="s">
        <v>489</v>
      </c>
      <c r="G284" s="1" t="s">
        <v>72</v>
      </c>
      <c r="H284" s="1">
        <v>0.9816034</v>
      </c>
      <c r="I284" s="1" t="s">
        <v>490</v>
      </c>
    </row>
    <row r="285">
      <c r="A285" s="2" t="str">
        <f>HYPERLINK("https://ui.adsabs.harvard.edu/abs/2023PhRvR...5a2006L/abstract","2023PhRvR...5a2006L")</f>
        <v>2023PhRvR...5a2006L</v>
      </c>
      <c r="E285" s="2" t="str">
        <f>HYPERLINK("https://ui.adsabs.harvard.edu/abs/2021arXiv210908885L/abstract","2021arXiv210908885L")</f>
        <v>2021arXiv210908885L</v>
      </c>
      <c r="F285" s="1" t="s">
        <v>491</v>
      </c>
      <c r="G285" s="1" t="s">
        <v>72</v>
      </c>
      <c r="H285" s="1">
        <v>0.981666</v>
      </c>
      <c r="I285" s="1" t="s">
        <v>492</v>
      </c>
    </row>
    <row r="286">
      <c r="A286" s="2" t="str">
        <f>HYPERLINK("https://ui.adsabs.harvard.edu/abs/2022Quant...6..669J/abstract","2022Quant...6..669J")</f>
        <v>2022Quant...6..669J</v>
      </c>
      <c r="B286" s="2" t="str">
        <f>HYPERLINK("https://ui.adsabs.harvard.edu/abs/2022arXiv220306611J/abstract","2022arXiv220306611J")</f>
        <v>2022arXiv220306611J</v>
      </c>
      <c r="C286" s="1" t="s">
        <v>493</v>
      </c>
      <c r="D286" s="1" t="s">
        <v>494</v>
      </c>
      <c r="E286" s="2" t="str">
        <f>HYPERLINK("https://ui.adsabs.harvard.edu/abs/2020arXiv201206687J/abstract","2020arXiv201206687J")</f>
        <v>2020arXiv201206687J</v>
      </c>
      <c r="G286" s="1" t="s">
        <v>72</v>
      </c>
      <c r="H286" s="1">
        <v>0.9819236</v>
      </c>
      <c r="I286" s="1" t="s">
        <v>495</v>
      </c>
    </row>
    <row r="287">
      <c r="A287" s="2" t="str">
        <f>HYPERLINK("https://ui.adsabs.harvard.edu/abs/2023NatMa..22..128G/abstract","2023NatMa..22..128G")</f>
        <v>2023NatMa..22..128G</v>
      </c>
      <c r="B287" s="2" t="str">
        <f>HYPERLINK("https://ui.adsabs.harvard.edu/abs/2022arXiv220300976G/abstract","2022arXiv220300976G")</f>
        <v>2022arXiv220300976G</v>
      </c>
      <c r="C287" s="1" t="s">
        <v>70</v>
      </c>
      <c r="E287" s="2" t="str">
        <f>HYPERLINK("https://ui.adsabs.harvard.edu/abs/2022arXiv220300976G/abstract","2022arXiv220300976G")</f>
        <v>2022arXiv220300976G</v>
      </c>
      <c r="F287" s="1" t="s">
        <v>496</v>
      </c>
      <c r="G287" s="1" t="s">
        <v>72</v>
      </c>
      <c r="H287" s="1">
        <v>0.9820873</v>
      </c>
      <c r="I287" s="1" t="s">
        <v>497</v>
      </c>
    </row>
    <row r="288">
      <c r="A288" s="2" t="str">
        <f>HYPERLINK("https://ui.adsabs.harvard.edu/abs/2023JHEP...01..047C/abstract","2023JHEP...01..047C")</f>
        <v>2023JHEP...01..047C</v>
      </c>
      <c r="B288" s="2" t="str">
        <f>HYPERLINK("https://ui.adsabs.harvard.edu/abs/2022arXiv220915540C/abstract","2022arXiv220915540C")</f>
        <v>2022arXiv220915540C</v>
      </c>
      <c r="C288" s="1" t="s">
        <v>70</v>
      </c>
      <c r="E288" s="2" t="str">
        <f>HYPERLINK("https://ui.adsabs.harvard.edu/abs/2022arXiv220915540C/abstract","2022arXiv220915540C")</f>
        <v>2022arXiv220915540C</v>
      </c>
      <c r="F288" s="1" t="s">
        <v>498</v>
      </c>
      <c r="G288" s="1" t="s">
        <v>72</v>
      </c>
      <c r="H288" s="1">
        <v>0.9820873</v>
      </c>
      <c r="I288" s="1" t="s">
        <v>497</v>
      </c>
    </row>
    <row r="289">
      <c r="A289" s="2" t="str">
        <f>HYPERLINK("https://ui.adsabs.harvard.edu/abs/2023PhRvC.107a4911W/abstract","2023PhRvC.107a4911W")</f>
        <v>2023PhRvC.107a4911W</v>
      </c>
      <c r="E289" s="2" t="str">
        <f>HYPERLINK("https://ui.adsabs.harvard.edu/abs/2023arXiv230102846W/abstract","2023arXiv230102846W")</f>
        <v>2023arXiv230102846W</v>
      </c>
      <c r="F289" s="1" t="s">
        <v>499</v>
      </c>
      <c r="G289" s="1" t="s">
        <v>72</v>
      </c>
      <c r="H289" s="1">
        <v>0.9820873</v>
      </c>
      <c r="I289" s="1" t="s">
        <v>497</v>
      </c>
    </row>
    <row r="290">
      <c r="A290" s="2" t="str">
        <f>HYPERLINK("https://ui.adsabs.harvard.edu/abs/2023PhRvL.130c0401P/abstract","2023PhRvL.130c0401P")</f>
        <v>2023PhRvL.130c0401P</v>
      </c>
      <c r="B290" s="2" t="str">
        <f>HYPERLINK("https://ui.adsabs.harvard.edu/abs/2022arXiv220506492P/abstract","2022arXiv220506492P")</f>
        <v>2022arXiv220506492P</v>
      </c>
      <c r="C290" s="1" t="s">
        <v>70</v>
      </c>
      <c r="E290" s="2" t="str">
        <f>HYPERLINK("https://ui.adsabs.harvard.edu/abs/2022arXiv220506492P/abstract","2022arXiv220506492P")</f>
        <v>2022arXiv220506492P</v>
      </c>
      <c r="F290" s="1" t="s">
        <v>500</v>
      </c>
      <c r="G290" s="1" t="s">
        <v>72</v>
      </c>
      <c r="H290" s="1">
        <v>0.9820873</v>
      </c>
      <c r="I290" s="1" t="s">
        <v>497</v>
      </c>
    </row>
    <row r="291">
      <c r="A291" s="2" t="str">
        <f>HYPERLINK("https://ui.adsabs.harvard.edu/abs/2023PhRvR...5a3032M/abstract","2023PhRvR...5a3032M")</f>
        <v>2023PhRvR...5a3032M</v>
      </c>
      <c r="B291" s="2" t="str">
        <f>HYPERLINK("https://ui.adsabs.harvard.edu/abs/2022arXiv220804162M/abstract","2022arXiv220804162M")</f>
        <v>2022arXiv220804162M</v>
      </c>
      <c r="C291" s="1" t="s">
        <v>70</v>
      </c>
      <c r="E291" s="2" t="str">
        <f>HYPERLINK("https://ui.adsabs.harvard.edu/abs/2022arXiv220804162M/abstract","2022arXiv220804162M")</f>
        <v>2022arXiv220804162M</v>
      </c>
      <c r="F291" s="1" t="s">
        <v>501</v>
      </c>
      <c r="G291" s="1" t="s">
        <v>72</v>
      </c>
      <c r="H291" s="1">
        <v>0.9820873</v>
      </c>
      <c r="I291" s="1" t="s">
        <v>497</v>
      </c>
    </row>
    <row r="292">
      <c r="A292" s="2" t="str">
        <f>HYPERLINK("https://ui.adsabs.harvard.edu/abs/2023JFM...955A..26B/abstract","2023JFM...955A..26B")</f>
        <v>2023JFM...955A..26B</v>
      </c>
      <c r="B292" s="2" t="str">
        <f>HYPERLINK("https://ui.adsabs.harvard.edu/abs/2022arXiv220101103B/abstract","2022arXiv220101103B")</f>
        <v>2022arXiv220101103B</v>
      </c>
      <c r="C292" s="1" t="s">
        <v>70</v>
      </c>
      <c r="E292" s="2" t="str">
        <f>HYPERLINK("https://ui.adsabs.harvard.edu/abs/2022arXiv220101103B/abstract","2022arXiv220101103B")</f>
        <v>2022arXiv220101103B</v>
      </c>
      <c r="F292" s="1" t="s">
        <v>502</v>
      </c>
      <c r="G292" s="1" t="s">
        <v>72</v>
      </c>
      <c r="H292" s="1">
        <v>0.9820873</v>
      </c>
      <c r="I292" s="1" t="s">
        <v>497</v>
      </c>
    </row>
    <row r="293">
      <c r="A293" s="2" t="str">
        <f>HYPERLINK("https://ui.adsabs.harvard.edu/abs/2017Quant...1...26J/abstract","2017Quant...1...26J")</f>
        <v>2017Quant...1...26J</v>
      </c>
      <c r="B293" s="2" t="str">
        <f>HYPERLINK("https://ui.adsabs.harvard.edu/abs/2017arXiv170400765J/abstract","2017arXiv170400765J")</f>
        <v>2017arXiv170400765J</v>
      </c>
      <c r="C293" s="1" t="s">
        <v>70</v>
      </c>
      <c r="E293" s="2" t="str">
        <f>HYPERLINK("https://ui.adsabs.harvard.edu/abs/2017arXiv170400765J/abstract","2017arXiv170400765J")</f>
        <v>2017arXiv170400765J</v>
      </c>
      <c r="F293" s="1" t="s">
        <v>503</v>
      </c>
      <c r="G293" s="1" t="s">
        <v>72</v>
      </c>
      <c r="H293" s="1">
        <v>0.9820873</v>
      </c>
      <c r="I293" s="1" t="s">
        <v>497</v>
      </c>
    </row>
    <row r="294">
      <c r="A294" s="2" t="str">
        <f>HYPERLINK("https://ui.adsabs.harvard.edu/abs/2023SMat...19..550W/abstract","2023SMat...19..550W")</f>
        <v>2023SMat...19..550W</v>
      </c>
      <c r="B294" s="2" t="str">
        <f>HYPERLINK("https://ui.adsabs.harvard.edu/abs/2022arXiv221006446W/abstract","2022arXiv221006446W")</f>
        <v>2022arXiv221006446W</v>
      </c>
      <c r="C294" s="1" t="s">
        <v>70</v>
      </c>
      <c r="E294" s="2" t="str">
        <f>HYPERLINK("https://ui.adsabs.harvard.edu/abs/2022arXiv221006446W/abstract","2022arXiv221006446W")</f>
        <v>2022arXiv221006446W</v>
      </c>
      <c r="F294" s="1" t="s">
        <v>504</v>
      </c>
      <c r="G294" s="1" t="s">
        <v>72</v>
      </c>
      <c r="H294" s="1">
        <v>0.9820873</v>
      </c>
      <c r="I294" s="1" t="s">
        <v>497</v>
      </c>
    </row>
    <row r="295">
      <c r="A295" s="2" t="str">
        <f>HYPERLINK("https://ui.adsabs.harvard.edu/abs/2023NatSR..13..977K/abstract","2023NatSR..13..977K")</f>
        <v>2023NatSR..13..977K</v>
      </c>
      <c r="E295" s="2" t="str">
        <f>HYPERLINK("https://ui.adsabs.harvard.edu/abs/2021arXiv210408007K/abstract","2021arXiv210408007K")</f>
        <v>2021arXiv210408007K</v>
      </c>
      <c r="F295" s="1" t="s">
        <v>505</v>
      </c>
      <c r="G295" s="1" t="s">
        <v>72</v>
      </c>
      <c r="H295" s="1">
        <v>0.9822951</v>
      </c>
      <c r="I295" s="1" t="s">
        <v>75</v>
      </c>
    </row>
    <row r="296">
      <c r="A296" s="2" t="str">
        <f>HYPERLINK("https://ui.adsabs.harvard.edu/abs/2023JCoPh.47711912P/abstract","2023JCoPh.47711912P")</f>
        <v>2023JCoPh.47711912P</v>
      </c>
      <c r="E296" s="2" t="str">
        <f>HYPERLINK("https://ui.adsabs.harvard.edu/abs/2021arXiv211013361P/abstract","2021arXiv211013361P")</f>
        <v>2021arXiv211013361P</v>
      </c>
      <c r="F296" s="1" t="s">
        <v>506</v>
      </c>
      <c r="G296" s="1" t="s">
        <v>72</v>
      </c>
      <c r="H296" s="1">
        <v>0.9822951</v>
      </c>
      <c r="I296" s="1" t="s">
        <v>507</v>
      </c>
    </row>
    <row r="297">
      <c r="A297" s="2" t="str">
        <f>HYPERLINK("https://ui.adsabs.harvard.edu/abs/2023NuPhB.98716072K/abstract","2023NuPhB.98716072K")</f>
        <v>2023NuPhB.98716072K</v>
      </c>
      <c r="E297" s="2" t="str">
        <f>HYPERLINK("https://ui.adsabs.harvard.edu/abs/2021arXiv210503980K/abstract","2021arXiv210503980K")</f>
        <v>2021arXiv210503980K</v>
      </c>
      <c r="F297" s="1" t="s">
        <v>508</v>
      </c>
      <c r="G297" s="1" t="s">
        <v>72</v>
      </c>
      <c r="H297" s="1">
        <v>0.9822951</v>
      </c>
      <c r="I297" s="1" t="s">
        <v>507</v>
      </c>
    </row>
    <row r="298">
      <c r="A298" s="2" t="str">
        <f>HYPERLINK("https://ui.adsabs.harvard.edu/abs/2023CompM..71..143C/abstract","2023CompM..71..143C")</f>
        <v>2023CompM..71..143C</v>
      </c>
      <c r="E298" s="2" t="str">
        <f>HYPERLINK("https://ui.adsabs.harvard.edu/abs/2022arXiv220101165P/abstract","2022arXiv220101165P")</f>
        <v>2022arXiv220101165P</v>
      </c>
      <c r="G298" s="1" t="s">
        <v>72</v>
      </c>
      <c r="H298" s="1">
        <v>0.9823297</v>
      </c>
      <c r="I298" s="1" t="s">
        <v>509</v>
      </c>
    </row>
    <row r="299">
      <c r="A299" s="2" t="str">
        <f>HYPERLINK("https://ui.adsabs.harvard.edu/abs/2023CMAME.405k5873C/abstract","2023CMAME.405k5873C")</f>
        <v>2023CMAME.405k5873C</v>
      </c>
      <c r="B299" s="2" t="str">
        <f>HYPERLINK("https://ui.adsabs.harvard.edu/abs/2022arXiv220511396C/abstract","2022arXiv220511396C")</f>
        <v>2022arXiv220511396C</v>
      </c>
      <c r="C299" s="1" t="s">
        <v>70</v>
      </c>
      <c r="E299" s="2" t="str">
        <f>HYPERLINK("https://ui.adsabs.harvard.edu/abs/2022arXiv220511396C/abstract","2022arXiv220511396C")</f>
        <v>2022arXiv220511396C</v>
      </c>
      <c r="G299" s="1" t="s">
        <v>72</v>
      </c>
      <c r="H299" s="1">
        <v>0.9823529</v>
      </c>
      <c r="I299" s="1" t="s">
        <v>510</v>
      </c>
    </row>
    <row r="300">
      <c r="A300" s="2" t="str">
        <f>HYPERLINK("https://ui.adsabs.harvard.edu/abs/2022ITSP...70.6170G/abstract","2022ITSP...70.6170G")</f>
        <v>2022ITSP...70.6170G</v>
      </c>
      <c r="B300" s="2" t="str">
        <f>HYPERLINK("https://ui.adsabs.harvard.edu/abs/2021arXiv211213720G/abstract","2021arXiv211213720G")</f>
        <v>2021arXiv211213720G</v>
      </c>
      <c r="C300" s="1" t="s">
        <v>70</v>
      </c>
      <c r="E300" s="2" t="str">
        <f>HYPERLINK("https://ui.adsabs.harvard.edu/abs/2021arXiv211213720G/abstract","2021arXiv211213720G")</f>
        <v>2021arXiv211213720G</v>
      </c>
      <c r="G300" s="1" t="s">
        <v>72</v>
      </c>
      <c r="H300" s="1">
        <v>0.9823529</v>
      </c>
      <c r="I300" s="1" t="s">
        <v>510</v>
      </c>
    </row>
    <row r="301">
      <c r="A301" s="2" t="str">
        <f>HYPERLINK("https://ui.adsabs.harvard.edu/abs/2023NatMa..22...36C/abstract","2023NatMa..22...36C")</f>
        <v>2023NatMa..22...36C</v>
      </c>
      <c r="E301" s="2" t="str">
        <f>HYPERLINK("https://ui.adsabs.harvard.edu/abs/2022arXiv220107873C/abstract","2022arXiv220107873C")</f>
        <v>2022arXiv220107873C</v>
      </c>
      <c r="G301" s="1" t="s">
        <v>72</v>
      </c>
      <c r="H301" s="1">
        <v>0.9824398</v>
      </c>
      <c r="I301" s="1" t="s">
        <v>511</v>
      </c>
    </row>
    <row r="302">
      <c r="A302" s="2" t="str">
        <f>HYPERLINK("https://ui.adsabs.harvard.edu/abs/2023JMFM...25...17K/abstract","2023JMFM...25...17K")</f>
        <v>2023JMFM...25...17K</v>
      </c>
      <c r="B302" s="2" t="str">
        <f>HYPERLINK("https://ui.adsabs.harvard.edu/abs/2022arXiv220401149K/abstract","2022arXiv220401149K")</f>
        <v>2022arXiv220401149K</v>
      </c>
      <c r="C302" s="1" t="s">
        <v>70</v>
      </c>
      <c r="E302" s="2" t="str">
        <f>HYPERLINK("https://ui.adsabs.harvard.edu/abs/2022arXiv220401149K/abstract","2022arXiv220401149K")</f>
        <v>2022arXiv220401149K</v>
      </c>
      <c r="F302" s="1" t="s">
        <v>512</v>
      </c>
      <c r="G302" s="1" t="s">
        <v>72</v>
      </c>
      <c r="H302" s="1">
        <v>0.9825917</v>
      </c>
      <c r="I302" s="1" t="s">
        <v>513</v>
      </c>
    </row>
    <row r="303">
      <c r="A303" s="2" t="str">
        <f>HYPERLINK("https://ui.adsabs.harvard.edu/abs/2023FrPhy..1831302Z/abstract","2023FrPhy..1831302Z")</f>
        <v>2023FrPhy..1831302Z</v>
      </c>
      <c r="B303" s="2" t="str">
        <f>HYPERLINK("https://ui.adsabs.harvard.edu/abs/2022arXiv221005985Z/abstract","2022arXiv221005985Z")</f>
        <v>2022arXiv221005985Z</v>
      </c>
      <c r="C303" s="1" t="s">
        <v>70</v>
      </c>
      <c r="E303" s="2" t="str">
        <f>HYPERLINK("https://ui.adsabs.harvard.edu/abs/2022arXiv221005985Z/abstract","2022arXiv221005985Z")</f>
        <v>2022arXiv221005985Z</v>
      </c>
      <c r="F303" s="1" t="s">
        <v>514</v>
      </c>
      <c r="G303" s="1" t="s">
        <v>72</v>
      </c>
      <c r="H303" s="1">
        <v>0.9825917</v>
      </c>
      <c r="I303" s="1" t="s">
        <v>513</v>
      </c>
    </row>
    <row r="304">
      <c r="A304" s="2" t="str">
        <f>HYPERLINK("https://ui.adsabs.harvard.edu/abs/2023JHEP...01..085R/abstract","2023JHEP...01..085R")</f>
        <v>2023JHEP...01..085R</v>
      </c>
      <c r="B304" s="2" t="str">
        <f>HYPERLINK("https://ui.adsabs.harvard.edu/abs/2022arXiv221003108R/abstract","2022arXiv221003108R")</f>
        <v>2022arXiv221003108R</v>
      </c>
      <c r="C304" s="1" t="s">
        <v>70</v>
      </c>
      <c r="E304" s="2" t="str">
        <f>HYPERLINK("https://ui.adsabs.harvard.edu/abs/2022arXiv221003108R/abstract","2022arXiv221003108R")</f>
        <v>2022arXiv221003108R</v>
      </c>
      <c r="F304" s="1" t="s">
        <v>515</v>
      </c>
      <c r="G304" s="1" t="s">
        <v>72</v>
      </c>
      <c r="H304" s="1">
        <v>0.9825917</v>
      </c>
      <c r="I304" s="1" t="s">
        <v>513</v>
      </c>
    </row>
    <row r="305">
      <c r="A305" s="2" t="str">
        <f>HYPERLINK("https://ui.adsabs.harvard.edu/abs/2023PhRvA.107a2608L/abstract","2023PhRvA.107a2608L")</f>
        <v>2023PhRvA.107a2608L</v>
      </c>
      <c r="B305" s="2" t="str">
        <f>HYPERLINK("https://ui.adsabs.harvard.edu/abs/2022arXiv220900201L/abstract","2022arXiv220900201L")</f>
        <v>2022arXiv220900201L</v>
      </c>
      <c r="C305" s="1" t="s">
        <v>70</v>
      </c>
      <c r="E305" s="2" t="str">
        <f>HYPERLINK("https://ui.adsabs.harvard.edu/abs/2022arXiv220900201L/abstract","2022arXiv220900201L")</f>
        <v>2022arXiv220900201L</v>
      </c>
      <c r="F305" s="1" t="s">
        <v>516</v>
      </c>
      <c r="G305" s="1" t="s">
        <v>72</v>
      </c>
      <c r="H305" s="1">
        <v>0.9825917</v>
      </c>
      <c r="I305" s="1" t="s">
        <v>513</v>
      </c>
    </row>
    <row r="306">
      <c r="A306" s="2" t="str">
        <f>HYPERLINK("https://ui.adsabs.harvard.edu/abs/2023PhRvP..19a4048H/abstract","2023PhRvP..19a4048H")</f>
        <v>2023PhRvP..19a4048H</v>
      </c>
      <c r="B306" s="2" t="str">
        <f>HYPERLINK("https://ui.adsabs.harvard.edu/abs/2022arXiv220511870H/abstract","2022arXiv220511870H")</f>
        <v>2022arXiv220511870H</v>
      </c>
      <c r="C306" s="1" t="s">
        <v>70</v>
      </c>
      <c r="E306" s="2" t="str">
        <f>HYPERLINK("https://ui.adsabs.harvard.edu/abs/2022arXiv220511870H/abstract","2022arXiv220511870H")</f>
        <v>2022arXiv220511870H</v>
      </c>
      <c r="F306" s="1" t="s">
        <v>517</v>
      </c>
      <c r="G306" s="1" t="s">
        <v>72</v>
      </c>
      <c r="H306" s="1">
        <v>0.9825917</v>
      </c>
      <c r="I306" s="1" t="s">
        <v>513</v>
      </c>
    </row>
    <row r="307">
      <c r="A307" s="2" t="str">
        <f>HYPERLINK("https://ui.adsabs.harvard.edu/abs/2023PhRvB.107c5131Y/abstract","2023PhRvB.107c5131Y")</f>
        <v>2023PhRvB.107c5131Y</v>
      </c>
      <c r="B307" s="2" t="str">
        <f>HYPERLINK("https://ui.adsabs.harvard.edu/abs/2022arXiv221006641Y/abstract","2022arXiv221006641Y")</f>
        <v>2022arXiv221006641Y</v>
      </c>
      <c r="C307" s="1" t="s">
        <v>70</v>
      </c>
      <c r="E307" s="2" t="str">
        <f>HYPERLINK("https://ui.adsabs.harvard.edu/abs/2022arXiv221006641Y/abstract","2022arXiv221006641Y")</f>
        <v>2022arXiv221006641Y</v>
      </c>
      <c r="F307" s="1" t="s">
        <v>518</v>
      </c>
      <c r="G307" s="1" t="s">
        <v>72</v>
      </c>
      <c r="H307" s="1">
        <v>0.9825917</v>
      </c>
      <c r="I307" s="1" t="s">
        <v>513</v>
      </c>
    </row>
    <row r="308">
      <c r="A308" s="2" t="str">
        <f>HYPERLINK("https://ui.adsabs.harvard.edu/abs/2023PhRvB.107d5133Y/abstract","2023PhRvB.107d5133Y")</f>
        <v>2023PhRvB.107d5133Y</v>
      </c>
      <c r="B308" s="2" t="str">
        <f>HYPERLINK("https://ui.adsabs.harvard.edu/abs/2023arXiv230104310Y/abstract","2023arXiv230104310Y")</f>
        <v>2023arXiv230104310Y</v>
      </c>
      <c r="C308" s="1" t="s">
        <v>70</v>
      </c>
      <c r="E308" s="2" t="str">
        <f>HYPERLINK("https://ui.adsabs.harvard.edu/abs/2023arXiv230104310Y/abstract","2023arXiv230104310Y")</f>
        <v>2023arXiv230104310Y</v>
      </c>
      <c r="F308" s="1" t="s">
        <v>519</v>
      </c>
      <c r="G308" s="1" t="s">
        <v>72</v>
      </c>
      <c r="H308" s="1">
        <v>0.9825917</v>
      </c>
      <c r="I308" s="1" t="s">
        <v>513</v>
      </c>
    </row>
    <row r="309">
      <c r="A309" s="2" t="str">
        <f>HYPERLINK("https://ui.adsabs.harvard.edu/abs/2023PhRvD.107a5017B/abstract","2023PhRvD.107a5017B")</f>
        <v>2023PhRvD.107a5017B</v>
      </c>
      <c r="B309" s="2" t="str">
        <f>HYPERLINK("https://ui.adsabs.harvard.edu/abs/2022arXiv220900031B/abstract","2022arXiv220900031B")</f>
        <v>2022arXiv220900031B</v>
      </c>
      <c r="C309" s="1" t="s">
        <v>70</v>
      </c>
      <c r="E309" s="2" t="str">
        <f>HYPERLINK("https://ui.adsabs.harvard.edu/abs/2022arXiv220900031B/abstract","2022arXiv220900031B")</f>
        <v>2022arXiv220900031B</v>
      </c>
      <c r="F309" s="1" t="s">
        <v>520</v>
      </c>
      <c r="G309" s="1" t="s">
        <v>72</v>
      </c>
      <c r="H309" s="1">
        <v>0.9825917</v>
      </c>
      <c r="I309" s="1" t="s">
        <v>513</v>
      </c>
    </row>
    <row r="310">
      <c r="A310" s="2" t="str">
        <f>HYPERLINK("https://ui.adsabs.harvard.edu/abs/2023PhRvX..13a1004T/abstract","2023PhRvX..13a1004T")</f>
        <v>2023PhRvX..13a1004T</v>
      </c>
      <c r="B310" s="2" t="str">
        <f>HYPERLINK("https://ui.adsabs.harvard.edu/abs/2022arXiv220309459T/abstract","2022arXiv220309459T")</f>
        <v>2022arXiv220309459T</v>
      </c>
      <c r="C310" s="1" t="s">
        <v>70</v>
      </c>
      <c r="E310" s="2" t="str">
        <f>HYPERLINK("https://ui.adsabs.harvard.edu/abs/2022arXiv220309459T/abstract","2022arXiv220309459T")</f>
        <v>2022arXiv220309459T</v>
      </c>
      <c r="F310" s="1" t="s">
        <v>521</v>
      </c>
      <c r="G310" s="1" t="s">
        <v>72</v>
      </c>
      <c r="H310" s="1">
        <v>0.9825917</v>
      </c>
      <c r="I310" s="1" t="s">
        <v>513</v>
      </c>
    </row>
    <row r="311">
      <c r="A311" s="2" t="str">
        <f>HYPERLINK("https://ui.adsabs.harvard.edu/abs/2023OExpr..31.3984H/abstract","2023OExpr..31.3984H")</f>
        <v>2023OExpr..31.3984H</v>
      </c>
      <c r="B311" s="2" t="str">
        <f>HYPERLINK("https://ui.adsabs.harvard.edu/abs/2023arXiv230101160H/abstract","2023arXiv230101160H")</f>
        <v>2023arXiv230101160H</v>
      </c>
      <c r="C311" s="1" t="s">
        <v>70</v>
      </c>
      <c r="E311" s="2" t="str">
        <f>HYPERLINK("https://ui.adsabs.harvard.edu/abs/2023arXiv230101160H/abstract","2023arXiv230101160H")</f>
        <v>2023arXiv230101160H</v>
      </c>
      <c r="F311" s="1" t="s">
        <v>522</v>
      </c>
      <c r="G311" s="1" t="s">
        <v>72</v>
      </c>
      <c r="H311" s="1">
        <v>0.9825917</v>
      </c>
      <c r="I311" s="1" t="s">
        <v>513</v>
      </c>
    </row>
    <row r="312">
      <c r="A312" s="2" t="str">
        <f>HYPERLINK("https://ui.adsabs.harvard.edu/abs/2023Symm...15..241Q/abstract","2023Symm...15..241Q")</f>
        <v>2023Symm...15..241Q</v>
      </c>
      <c r="B312" s="2" t="str">
        <f>HYPERLINK("https://ui.adsabs.harvard.edu/abs/2023arXiv230106208Q/abstract","2023arXiv230106208Q")</f>
        <v>2023arXiv230106208Q</v>
      </c>
      <c r="C312" s="1" t="s">
        <v>70</v>
      </c>
      <c r="E312" s="2" t="str">
        <f>HYPERLINK("https://ui.adsabs.harvard.edu/abs/2023arXiv230106208Q/abstract","2023arXiv230106208Q")</f>
        <v>2023arXiv230106208Q</v>
      </c>
      <c r="F312" s="1" t="s">
        <v>523</v>
      </c>
      <c r="G312" s="1" t="s">
        <v>72</v>
      </c>
      <c r="H312" s="1">
        <v>0.9825917</v>
      </c>
      <c r="I312" s="1" t="s">
        <v>513</v>
      </c>
    </row>
    <row r="313">
      <c r="A313" s="2" t="str">
        <f>HYPERLINK("https://ui.adsabs.harvard.edu/abs/2023EPJC...83...15A/abstract","2023EPJC...83...15A")</f>
        <v>2023EPJC...83...15A</v>
      </c>
      <c r="B313" s="2" t="str">
        <f>HYPERLINK("https://ui.adsabs.harvard.edu/abs/2022arXiv220310811A/abstract","2022arXiv220310811A")</f>
        <v>2022arXiv220310811A</v>
      </c>
      <c r="C313" s="1" t="s">
        <v>70</v>
      </c>
      <c r="E313" s="2" t="str">
        <f>HYPERLINK("https://ui.adsabs.harvard.edu/abs/2022arXiv220310811A/abstract","2022arXiv220310811A")</f>
        <v>2022arXiv220310811A</v>
      </c>
      <c r="F313" s="1" t="s">
        <v>524</v>
      </c>
      <c r="G313" s="1" t="s">
        <v>72</v>
      </c>
      <c r="H313" s="1">
        <v>0.9829936</v>
      </c>
      <c r="I313" s="1" t="s">
        <v>525</v>
      </c>
    </row>
    <row r="314">
      <c r="A314" s="2" t="str">
        <f>HYPERLINK("https://ui.adsabs.harvard.edu/abs/2022Quant...6..719S/abstract","2022Quant...6..719S")</f>
        <v>2022Quant...6..719S</v>
      </c>
      <c r="B314" s="2" t="str">
        <f>HYPERLINK("https://ui.adsabs.harvard.edu/abs/2021arXiv211109132S/abstract","2021arXiv211109132S")</f>
        <v>2021arXiv211109132S</v>
      </c>
      <c r="C314" s="1" t="s">
        <v>70</v>
      </c>
      <c r="E314" s="2" t="str">
        <f>HYPERLINK("https://ui.adsabs.harvard.edu/abs/2021arXiv211109132S/abstract","2021arXiv211109132S")</f>
        <v>2021arXiv211109132S</v>
      </c>
      <c r="G314" s="1" t="s">
        <v>72</v>
      </c>
      <c r="H314" s="1">
        <v>0.9830204</v>
      </c>
      <c r="I314" s="1" t="s">
        <v>526</v>
      </c>
    </row>
    <row r="315">
      <c r="A315" s="2" t="str">
        <f>HYPERLINK("https://ui.adsabs.harvard.edu/abs/2022ConPh..63...15C/abstract","2022ConPh..63...15C")</f>
        <v>2022ConPh..63...15C</v>
      </c>
      <c r="B315" s="2" t="str">
        <f>HYPERLINK("https://ui.adsabs.harvard.edu/abs/2022arXiv221200733C/abstract","2022arXiv221200733C")</f>
        <v>2022arXiv221200733C</v>
      </c>
      <c r="C315" s="1" t="s">
        <v>70</v>
      </c>
      <c r="E315" s="2" t="str">
        <f>HYPERLINK("https://ui.adsabs.harvard.edu/abs/2022arXiv221200733C/abstract","2022arXiv221200733C")</f>
        <v>2022arXiv221200733C</v>
      </c>
      <c r="G315" s="1" t="s">
        <v>72</v>
      </c>
      <c r="H315" s="1">
        <v>0.9834226</v>
      </c>
      <c r="I315" s="1" t="s">
        <v>527</v>
      </c>
    </row>
    <row r="316">
      <c r="A316" s="2" t="str">
        <f>HYPERLINK("https://ui.adsabs.harvard.edu/abs/2023PhRvB.107c5125T/abstract","2023PhRvB.107c5125T")</f>
        <v>2023PhRvB.107c5125T</v>
      </c>
      <c r="E316" s="2" t="str">
        <f>HYPERLINK("https://ui.adsabs.harvard.edu/abs/2022arXiv220905830T/abstract","2022arXiv220905830T")</f>
        <v>2022arXiv220905830T</v>
      </c>
      <c r="F316" s="1" t="s">
        <v>528</v>
      </c>
      <c r="G316" s="1" t="s">
        <v>72</v>
      </c>
      <c r="H316" s="1">
        <v>0.9835906</v>
      </c>
      <c r="I316" s="1" t="s">
        <v>529</v>
      </c>
    </row>
    <row r="317">
      <c r="A317" s="2" t="str">
        <f>HYPERLINK("https://ui.adsabs.harvard.edu/abs/2023npjQI...9....1L/abstract","2023npjQI...9....1L")</f>
        <v>2023npjQI...9....1L</v>
      </c>
      <c r="E317" s="2" t="str">
        <f>HYPERLINK("https://ui.adsabs.harvard.edu/abs/2021arXiv211007737L/abstract","2021arXiv211007737L")</f>
        <v>2021arXiv211007737L</v>
      </c>
      <c r="F317" s="1" t="s">
        <v>530</v>
      </c>
      <c r="G317" s="1" t="s">
        <v>72</v>
      </c>
      <c r="H317" s="1">
        <v>0.9836539</v>
      </c>
      <c r="I317" s="1" t="s">
        <v>531</v>
      </c>
    </row>
    <row r="318">
      <c r="A318" s="2" t="str">
        <f>HYPERLINK("https://ui.adsabs.harvard.edu/abs/2023npjQI...9....5G/abstract","2023npjQI...9....5G")</f>
        <v>2023npjQI...9....5G</v>
      </c>
      <c r="E318" s="2" t="str">
        <f>HYPERLINK("https://ui.adsabs.harvard.edu/abs/2021arXiv210317206G/abstract","2021arXiv210317206G")</f>
        <v>2021arXiv210317206G</v>
      </c>
      <c r="F318" s="1" t="s">
        <v>532</v>
      </c>
      <c r="G318" s="1" t="s">
        <v>72</v>
      </c>
      <c r="H318" s="1">
        <v>0.9836539</v>
      </c>
      <c r="I318" s="1" t="s">
        <v>531</v>
      </c>
    </row>
    <row r="319">
      <c r="A319" s="2" t="str">
        <f>HYPERLINK("https://ui.adsabs.harvard.edu/abs/2023CMaPh.tmp...16N/abstract","2023CMaPh.tmp...16N")</f>
        <v>2023CMaPh.tmp...16N</v>
      </c>
      <c r="E319" s="2" t="str">
        <f>HYPERLINK("https://ui.adsabs.harvard.edu/abs/2021arXiv210610248N/abstract","2021arXiv210610248N")</f>
        <v>2021arXiv210610248N</v>
      </c>
      <c r="F319" s="1" t="s">
        <v>533</v>
      </c>
      <c r="G319" s="1" t="s">
        <v>72</v>
      </c>
      <c r="H319" s="1">
        <v>0.9836539</v>
      </c>
      <c r="I319" s="1" t="s">
        <v>531</v>
      </c>
    </row>
    <row r="320">
      <c r="A320" s="2" t="str">
        <f>HYPERLINK("https://ui.adsabs.harvard.edu/abs/2021Quant...5..431G/abstract","2021Quant...5..431G")</f>
        <v>2021Quant...5..431G</v>
      </c>
      <c r="E320" s="2" t="str">
        <f>HYPERLINK("https://ui.adsabs.harvard.edu/abs/2019arXiv190906619J/abstract","2019arXiv190906619J")</f>
        <v>2019arXiv190906619J</v>
      </c>
      <c r="G320" s="1" t="s">
        <v>72</v>
      </c>
      <c r="H320" s="1">
        <v>0.9837371</v>
      </c>
      <c r="I320" s="1" t="s">
        <v>534</v>
      </c>
    </row>
    <row r="321">
      <c r="A321" s="2" t="str">
        <f>HYPERLINK("https://ui.adsabs.harvard.edu/abs/2022Quant...6..706G/abstract","2022Quant...6..706G")</f>
        <v>2022Quant...6..706G</v>
      </c>
      <c r="E321" s="2" t="str">
        <f>HYPERLINK("https://ui.adsabs.harvard.edu/abs/2020arXiv201009746G/abstract","2020arXiv201009746G")</f>
        <v>2020arXiv201009746G</v>
      </c>
      <c r="G321" s="1" t="s">
        <v>72</v>
      </c>
      <c r="H321" s="1">
        <v>0.9837371</v>
      </c>
      <c r="I321" s="1" t="s">
        <v>534</v>
      </c>
    </row>
    <row r="322">
      <c r="A322" s="2" t="str">
        <f>HYPERLINK("https://ui.adsabs.harvard.edu/abs/2023MLS&amp;T...4a5003B/abstract","2023MLS&amp;T...4a5003B")</f>
        <v>2023MLS&amp;T...4a5003B</v>
      </c>
      <c r="B322" s="2" t="str">
        <f>HYPERLINK("https://ui.adsabs.harvard.edu/abs/2022arXiv220901476B/abstract","2022arXiv220901476B")</f>
        <v>2022arXiv220901476B</v>
      </c>
      <c r="C322" s="1" t="s">
        <v>70</v>
      </c>
      <c r="E322" s="2" t="str">
        <f>HYPERLINK("https://ui.adsabs.harvard.edu/abs/2022arXiv220901476B/abstract","2022arXiv220901476B")</f>
        <v>2022arXiv220901476B</v>
      </c>
      <c r="F322" s="1" t="s">
        <v>535</v>
      </c>
      <c r="G322" s="1" t="s">
        <v>72</v>
      </c>
      <c r="H322" s="1">
        <v>0.9838948</v>
      </c>
      <c r="I322" s="1" t="s">
        <v>536</v>
      </c>
    </row>
    <row r="323">
      <c r="A323" s="2" t="str">
        <f>HYPERLINK("https://ui.adsabs.harvard.edu/abs/2023JChPh.158c4107I/abstract","2023JChPh.158c4107I")</f>
        <v>2023JChPh.158c4107I</v>
      </c>
      <c r="B323" s="2" t="str">
        <f>HYPERLINK("https://ui.adsabs.harvard.edu/abs/2022arXiv221110218I/abstract","2022arXiv221110218I")</f>
        <v>2022arXiv221110218I</v>
      </c>
      <c r="C323" s="1" t="s">
        <v>70</v>
      </c>
      <c r="E323" s="2" t="str">
        <f>HYPERLINK("https://ui.adsabs.harvard.edu/abs/2022arXiv221110218I/abstract","2022arXiv221110218I")</f>
        <v>2022arXiv221110218I</v>
      </c>
      <c r="F323" s="1" t="s">
        <v>537</v>
      </c>
      <c r="G323" s="1" t="s">
        <v>72</v>
      </c>
      <c r="H323" s="1">
        <v>0.9840534</v>
      </c>
      <c r="I323" s="1" t="s">
        <v>538</v>
      </c>
    </row>
    <row r="324">
      <c r="A324" s="2" t="str">
        <f>HYPERLINK("https://ui.adsabs.harvard.edu/abs/2023PhyD..44533650C/abstract","2023PhyD..44533650C")</f>
        <v>2023PhyD..44533650C</v>
      </c>
      <c r="B324" s="2" t="str">
        <f>HYPERLINK("https://ui.adsabs.harvard.edu/abs/2022arXiv220613978C/abstract","2022arXiv220613978C")</f>
        <v>2022arXiv220613978C</v>
      </c>
      <c r="C324" s="1" t="s">
        <v>70</v>
      </c>
      <c r="E324" s="2" t="str">
        <f>HYPERLINK("https://ui.adsabs.harvard.edu/abs/2022arXiv220613978C/abstract","2022arXiv220613978C")</f>
        <v>2022arXiv220613978C</v>
      </c>
      <c r="F324" s="1" t="s">
        <v>539</v>
      </c>
      <c r="G324" s="1" t="s">
        <v>72</v>
      </c>
      <c r="H324" s="1">
        <v>0.9840534</v>
      </c>
      <c r="I324" s="1" t="s">
        <v>538</v>
      </c>
    </row>
    <row r="325">
      <c r="A325" s="2" t="str">
        <f>HYPERLINK("https://ui.adsabs.harvard.edu/abs/2023PhRvB.107a4415A/abstract","2023PhRvB.107a4415A")</f>
        <v>2023PhRvB.107a4415A</v>
      </c>
      <c r="B325" s="2" t="str">
        <f>HYPERLINK("https://ui.adsabs.harvard.edu/abs/2022arXiv220701284A/abstract","2022arXiv220701284A")</f>
        <v>2022arXiv220701284A</v>
      </c>
      <c r="C325" s="1" t="s">
        <v>70</v>
      </c>
      <c r="E325" s="2" t="str">
        <f>HYPERLINK("https://ui.adsabs.harvard.edu/abs/2022arXiv220701284A/abstract","2022arXiv220701284A")</f>
        <v>2022arXiv220701284A</v>
      </c>
      <c r="F325" s="1" t="s">
        <v>540</v>
      </c>
      <c r="G325" s="1" t="s">
        <v>72</v>
      </c>
      <c r="H325" s="1">
        <v>0.9840534</v>
      </c>
      <c r="I325" s="1" t="s">
        <v>538</v>
      </c>
    </row>
    <row r="326">
      <c r="A326" s="2" t="str">
        <f>HYPERLINK("https://ui.adsabs.harvard.edu/abs/2023PhRvD.107b5013M/abstract","2023PhRvD.107b5013M")</f>
        <v>2023PhRvD.107b5013M</v>
      </c>
      <c r="B326" s="2" t="str">
        <f>HYPERLINK("https://ui.adsabs.harvard.edu/abs/2022arXiv220910961M/abstract","2022arXiv220910961M")</f>
        <v>2022arXiv220910961M</v>
      </c>
      <c r="C326" s="1" t="s">
        <v>12</v>
      </c>
      <c r="D326" s="1" t="s">
        <v>541</v>
      </c>
      <c r="E326" s="2" t="str">
        <f>HYPERLINK("https://ui.adsabs.harvard.edu/abs/2022arXiv220205117M/abstract","2022arXiv220205117M")</f>
        <v>2022arXiv220205117M</v>
      </c>
      <c r="F326" s="1" t="s">
        <v>542</v>
      </c>
      <c r="G326" s="1" t="s">
        <v>72</v>
      </c>
      <c r="H326" s="1">
        <v>0.9840534</v>
      </c>
      <c r="I326" s="1" t="s">
        <v>538</v>
      </c>
    </row>
    <row r="327">
      <c r="A327" s="2" t="str">
        <f>HYPERLINK("https://ui.adsabs.harvard.edu/abs/2023Nonli..36.1302K/abstract","2023Nonli..36.1302K")</f>
        <v>2023Nonli..36.1302K</v>
      </c>
      <c r="B327" s="2" t="str">
        <f>HYPERLINK("https://ui.adsabs.harvard.edu/abs/2022arXiv220302918K/abstract","2022arXiv220302918K")</f>
        <v>2022arXiv220302918K</v>
      </c>
      <c r="C327" s="1" t="s">
        <v>70</v>
      </c>
      <c r="E327" s="2" t="str">
        <f>HYPERLINK("https://ui.adsabs.harvard.edu/abs/2022arXiv220302918K/abstract","2022arXiv220302918K")</f>
        <v>2022arXiv220302918K</v>
      </c>
      <c r="F327" s="1" t="s">
        <v>543</v>
      </c>
      <c r="G327" s="1" t="s">
        <v>72</v>
      </c>
      <c r="H327" s="1">
        <v>0.9840534</v>
      </c>
      <c r="I327" s="1" t="s">
        <v>538</v>
      </c>
    </row>
    <row r="328">
      <c r="A328" s="2" t="str">
        <f>HYPERLINK("https://ui.adsabs.harvard.edu/abs/2023AnP...53500199B/abstract","2023AnP...53500199B")</f>
        <v>2023AnP...53500199B</v>
      </c>
      <c r="B328" s="2" t="str">
        <f>HYPERLINK("https://ui.adsabs.harvard.edu/abs/2022arXiv220408149B/abstract","2022arXiv220408149B")</f>
        <v>2022arXiv220408149B</v>
      </c>
      <c r="C328" s="1" t="s">
        <v>70</v>
      </c>
      <c r="E328" s="2" t="str">
        <f>HYPERLINK("https://ui.adsabs.harvard.edu/abs/2022arXiv220408149B/abstract","2022arXiv220408149B")</f>
        <v>2022arXiv220408149B</v>
      </c>
      <c r="G328" s="1" t="s">
        <v>72</v>
      </c>
      <c r="H328" s="1">
        <v>0.9844286</v>
      </c>
      <c r="I328" s="1" t="s">
        <v>544</v>
      </c>
    </row>
    <row r="329">
      <c r="A329" s="2" t="str">
        <f>HYPERLINK("https://ui.adsabs.harvard.edu/abs/2023AnP...53500298P/abstract","2023AnP...53500298P")</f>
        <v>2023AnP...53500298P</v>
      </c>
      <c r="B329" s="2" t="str">
        <f>HYPERLINK("https://ui.adsabs.harvard.edu/abs/2022arXiv220605452P/abstract","2022arXiv220605452P")</f>
        <v>2022arXiv220605452P</v>
      </c>
      <c r="C329" s="1" t="s">
        <v>70</v>
      </c>
      <c r="E329" s="2" t="str">
        <f>HYPERLINK("https://ui.adsabs.harvard.edu/abs/2022arXiv220605452P/abstract","2022arXiv220605452P")</f>
        <v>2022arXiv220605452P</v>
      </c>
      <c r="G329" s="1" t="s">
        <v>72</v>
      </c>
      <c r="H329" s="1">
        <v>0.9844286</v>
      </c>
      <c r="I329" s="1" t="s">
        <v>544</v>
      </c>
    </row>
    <row r="330">
      <c r="A330" s="2" t="str">
        <f>HYPERLINK("https://ui.adsabs.harvard.edu/abs/2023FoPh...53...26M/abstract","2023FoPh...53...26M")</f>
        <v>2023FoPh...53...26M</v>
      </c>
      <c r="B330" s="2" t="str">
        <f>HYPERLINK("https://ui.adsabs.harvard.edu/abs/2022arXiv220400335M/abstract","2022arXiv220400335M")</f>
        <v>2022arXiv220400335M</v>
      </c>
      <c r="C330" s="1" t="s">
        <v>70</v>
      </c>
      <c r="E330" s="2" t="str">
        <f>HYPERLINK("https://ui.adsabs.harvard.edu/abs/2022arXiv220400335M/abstract","2022arXiv220400335M")</f>
        <v>2022arXiv220400335M</v>
      </c>
      <c r="F330" s="1" t="s">
        <v>545</v>
      </c>
      <c r="G330" s="1" t="s">
        <v>72</v>
      </c>
      <c r="H330" s="1">
        <v>0.9845034</v>
      </c>
      <c r="I330" s="1" t="s">
        <v>546</v>
      </c>
    </row>
    <row r="331">
      <c r="A331" s="2" t="str">
        <f>HYPERLINK("https://ui.adsabs.harvard.edu/abs/2023MeScT..34d2001M/abstract","2023MeScT..34d2001M")</f>
        <v>2023MeScT..34d2001M</v>
      </c>
      <c r="B331" s="2" t="str">
        <f>HYPERLINK("https://ui.adsabs.harvard.edu/abs/2022arXiv220807746M/abstract","2022arXiv220807746M")</f>
        <v>2022arXiv220807746M</v>
      </c>
      <c r="C331" s="1" t="s">
        <v>70</v>
      </c>
      <c r="E331" s="2" t="str">
        <f>HYPERLINK("https://ui.adsabs.harvard.edu/abs/2022arXiv220807746M/abstract","2022arXiv220807746M")</f>
        <v>2022arXiv220807746M</v>
      </c>
      <c r="F331" s="1" t="s">
        <v>547</v>
      </c>
      <c r="G331" s="1" t="s">
        <v>72</v>
      </c>
      <c r="H331" s="1">
        <v>0.9845034</v>
      </c>
      <c r="I331" s="1" t="s">
        <v>546</v>
      </c>
    </row>
    <row r="332">
      <c r="A332" s="2" t="str">
        <f>HYPERLINK("https://ui.adsabs.harvard.edu/abs/2023JPhA...56a5402C/abstract","2023JPhA...56a5402C")</f>
        <v>2023JPhA...56a5402C</v>
      </c>
      <c r="B332" s="2" t="str">
        <f>HYPERLINK("https://ui.adsabs.harvard.edu/abs/2022arXiv220614258C/abstract","2022arXiv220614258C")</f>
        <v>2022arXiv220614258C</v>
      </c>
      <c r="C332" s="1" t="s">
        <v>70</v>
      </c>
      <c r="E332" s="2" t="str">
        <f>HYPERLINK("https://ui.adsabs.harvard.edu/abs/2022arXiv220614258C/abstract","2022arXiv220614258C")</f>
        <v>2022arXiv220614258C</v>
      </c>
      <c r="F332" s="1" t="s">
        <v>548</v>
      </c>
      <c r="G332" s="1" t="s">
        <v>72</v>
      </c>
      <c r="H332" s="1">
        <v>0.9845034</v>
      </c>
      <c r="I332" s="1" t="s">
        <v>546</v>
      </c>
    </row>
    <row r="333">
      <c r="A333" s="2" t="str">
        <f>HYPERLINK("https://ui.adsabs.harvard.edu/abs/2023PhLB..83837665T/abstract","2023PhLB..83837665T")</f>
        <v>2023PhLB..83837665T</v>
      </c>
      <c r="B333" s="2" t="str">
        <f>HYPERLINK("https://ui.adsabs.harvard.edu/abs/2023arXiv230101008T/abstract","2023arXiv230101008T")</f>
        <v>2023arXiv230101008T</v>
      </c>
      <c r="C333" s="1" t="s">
        <v>70</v>
      </c>
      <c r="E333" s="2" t="str">
        <f>HYPERLINK("https://ui.adsabs.harvard.edu/abs/2023arXiv230101008T/abstract","2023arXiv230101008T")</f>
        <v>2023arXiv230101008T</v>
      </c>
      <c r="F333" s="1" t="s">
        <v>549</v>
      </c>
      <c r="G333" s="1" t="s">
        <v>72</v>
      </c>
      <c r="H333" s="1">
        <v>0.9845034</v>
      </c>
      <c r="I333" s="1" t="s">
        <v>546</v>
      </c>
    </row>
    <row r="334">
      <c r="A334" s="2" t="str">
        <f>HYPERLINK("https://ui.adsabs.harvard.edu/abs/2023PhLB..83837680B/abstract","2023PhLB..83837680B")</f>
        <v>2023PhLB..83837680B</v>
      </c>
      <c r="B334" s="2" t="str">
        <f>HYPERLINK("https://ui.adsabs.harvard.edu/abs/2022arXiv221113689B/abstract","2022arXiv221113689B")</f>
        <v>2022arXiv221113689B</v>
      </c>
      <c r="C334" s="1" t="s">
        <v>70</v>
      </c>
      <c r="E334" s="2" t="str">
        <f>HYPERLINK("https://ui.adsabs.harvard.edu/abs/2022arXiv221113689B/abstract","2022arXiv221113689B")</f>
        <v>2022arXiv221113689B</v>
      </c>
      <c r="F334" s="1" t="s">
        <v>550</v>
      </c>
      <c r="G334" s="1" t="s">
        <v>72</v>
      </c>
      <c r="H334" s="1">
        <v>0.9845034</v>
      </c>
      <c r="I334" s="1" t="s">
        <v>546</v>
      </c>
    </row>
    <row r="335">
      <c r="A335" s="2" t="str">
        <f>HYPERLINK("https://ui.adsabs.harvard.edu/abs/2023PhRvA.107a2609A/abstract","2023PhRvA.107a2609A")</f>
        <v>2023PhRvA.107a2609A</v>
      </c>
      <c r="B335" s="2" t="str">
        <f>HYPERLINK("https://ui.adsabs.harvard.edu/abs/2022arXiv220305517A/abstract","2022arXiv220305517A")</f>
        <v>2022arXiv220305517A</v>
      </c>
      <c r="C335" s="1" t="s">
        <v>70</v>
      </c>
      <c r="E335" s="2" t="str">
        <f>HYPERLINK("https://ui.adsabs.harvard.edu/abs/2022arXiv220305517A/abstract","2022arXiv220305517A")</f>
        <v>2022arXiv220305517A</v>
      </c>
      <c r="F335" s="1" t="s">
        <v>551</v>
      </c>
      <c r="G335" s="1" t="s">
        <v>72</v>
      </c>
      <c r="H335" s="1">
        <v>0.9845034</v>
      </c>
      <c r="I335" s="1" t="s">
        <v>546</v>
      </c>
    </row>
    <row r="336">
      <c r="A336" s="2" t="str">
        <f>HYPERLINK("https://ui.adsabs.harvard.edu/abs/2023PhRvB.107a4308O/abstract","2023PhRvB.107a4308O")</f>
        <v>2023PhRvB.107a4308O</v>
      </c>
      <c r="B336" s="2" t="str">
        <f>HYPERLINK("https://ui.adsabs.harvard.edu/abs/2022arXiv221016009O/abstract","2022arXiv221016009O")</f>
        <v>2022arXiv221016009O</v>
      </c>
      <c r="C336" s="1" t="s">
        <v>70</v>
      </c>
      <c r="E336" s="2" t="str">
        <f>HYPERLINK("https://ui.adsabs.harvard.edu/abs/2022arXiv221016009O/abstract","2022arXiv221016009O")</f>
        <v>2022arXiv221016009O</v>
      </c>
      <c r="F336" s="1" t="s">
        <v>552</v>
      </c>
      <c r="G336" s="1" t="s">
        <v>72</v>
      </c>
      <c r="H336" s="1">
        <v>0.9845034</v>
      </c>
      <c r="I336" s="1" t="s">
        <v>546</v>
      </c>
    </row>
    <row r="337">
      <c r="A337" s="2" t="str">
        <f>HYPERLINK("https://ui.adsabs.harvard.edu/abs/2023PhRvE.107a4605N/abstract","2023PhRvE.107a4605N")</f>
        <v>2023PhRvE.107a4605N</v>
      </c>
      <c r="B337" s="2" t="str">
        <f>HYPERLINK("https://ui.adsabs.harvard.edu/abs/2022arXiv220705424N/abstract","2022arXiv220705424N")</f>
        <v>2022arXiv220705424N</v>
      </c>
      <c r="C337" s="1" t="s">
        <v>70</v>
      </c>
      <c r="E337" s="2" t="str">
        <f>HYPERLINK("https://ui.adsabs.harvard.edu/abs/2022arXiv220705424N/abstract","2022arXiv220705424N")</f>
        <v>2022arXiv220705424N</v>
      </c>
      <c r="F337" s="1" t="s">
        <v>553</v>
      </c>
      <c r="G337" s="1" t="s">
        <v>72</v>
      </c>
      <c r="H337" s="1">
        <v>0.9845034</v>
      </c>
      <c r="I337" s="1" t="s">
        <v>546</v>
      </c>
    </row>
    <row r="338">
      <c r="A338" s="2" t="str">
        <f>HYPERLINK("https://ui.adsabs.harvard.edu/abs/2023PhRvL.130d3602G/abstract","2023PhRvL.130d3602G")</f>
        <v>2023PhRvL.130d3602G</v>
      </c>
      <c r="E338" s="2" t="str">
        <f>HYPERLINK("https://ui.adsabs.harvard.edu/abs/2022arXiv221107207G/abstract","2022arXiv221107207G")</f>
        <v>2022arXiv221107207G</v>
      </c>
      <c r="F338" s="1" t="s">
        <v>554</v>
      </c>
      <c r="G338" s="1" t="s">
        <v>72</v>
      </c>
      <c r="H338" s="1">
        <v>0.9845034</v>
      </c>
      <c r="I338" s="1" t="s">
        <v>546</v>
      </c>
    </row>
    <row r="339">
      <c r="A339" s="2" t="str">
        <f>HYPERLINK("https://ui.adsabs.harvard.edu/abs/2023SMat...19..519L/abstract","2023SMat...19..519L")</f>
        <v>2023SMat...19..519L</v>
      </c>
      <c r="B339" s="2" t="str">
        <f>HYPERLINK("https://ui.adsabs.harvard.edu/abs/2022arXiv221015832L/abstract","2022arXiv221015832L")</f>
        <v>2022arXiv221015832L</v>
      </c>
      <c r="C339" s="1" t="s">
        <v>70</v>
      </c>
      <c r="E339" s="2" t="str">
        <f>HYPERLINK("https://ui.adsabs.harvard.edu/abs/2022arXiv221015832L/abstract","2022arXiv221015832L")</f>
        <v>2022arXiv221015832L</v>
      </c>
      <c r="F339" s="1" t="s">
        <v>555</v>
      </c>
      <c r="G339" s="1" t="s">
        <v>72</v>
      </c>
      <c r="H339" s="1">
        <v>0.9845034</v>
      </c>
      <c r="I339" s="1" t="s">
        <v>546</v>
      </c>
    </row>
    <row r="340">
      <c r="A340" s="2" t="str">
        <f>HYPERLINK("https://ui.adsabs.harvard.edu/abs/2023JInst..18P1020B/abstract","2023JInst..18P1020B")</f>
        <v>2023JInst..18P1020B</v>
      </c>
      <c r="B340" s="2" t="str">
        <f>HYPERLINK("https://ui.adsabs.harvard.edu/abs/2022arXiv220913979B/abstract","2022arXiv220913979B")</f>
        <v>2022arXiv220913979B</v>
      </c>
      <c r="C340" s="1" t="s">
        <v>70</v>
      </c>
      <c r="E340" s="2" t="str">
        <f>HYPERLINK("https://ui.adsabs.harvard.edu/abs/2022arXiv220913979B/abstract","2022arXiv220913979B")</f>
        <v>2022arXiv220913979B</v>
      </c>
      <c r="F340" s="1" t="s">
        <v>556</v>
      </c>
      <c r="G340" s="1" t="s">
        <v>72</v>
      </c>
      <c r="H340" s="1">
        <v>0.9845034</v>
      </c>
      <c r="I340" s="1" t="s">
        <v>546</v>
      </c>
    </row>
    <row r="341">
      <c r="A341" s="2" t="str">
        <f>HYPERLINK("https://ui.adsabs.harvard.edu/abs/2023PhyB..65214627A/abstract","2023PhyB..65214627A")</f>
        <v>2023PhyB..65214627A</v>
      </c>
      <c r="E341" s="2" t="str">
        <f>HYPERLINK("https://ui.adsabs.harvard.edu/abs/2021arXiv210800387A/abstract","2021arXiv210800387A")</f>
        <v>2021arXiv210800387A</v>
      </c>
      <c r="F341" s="1" t="s">
        <v>557</v>
      </c>
      <c r="G341" s="1" t="s">
        <v>72</v>
      </c>
      <c r="H341" s="1">
        <v>0.9845241</v>
      </c>
      <c r="I341" s="1" t="s">
        <v>558</v>
      </c>
    </row>
    <row r="342">
      <c r="A342" s="2" t="str">
        <f>HYPERLINK("https://ui.adsabs.harvard.edu/abs/2023PhRvR...5a3022T/abstract","2023PhRvR...5a3022T")</f>
        <v>2023PhRvR...5a3022T</v>
      </c>
      <c r="B342" s="2" t="str">
        <f>HYPERLINK("https://ui.adsabs.harvard.edu/abs/2022arXiv220910651T/abstract","2022arXiv220910651T")</f>
        <v>2022arXiv220910651T</v>
      </c>
      <c r="C342" s="1" t="s">
        <v>70</v>
      </c>
      <c r="E342" s="2" t="str">
        <f>HYPERLINK("https://ui.adsabs.harvard.edu/abs/2022arXiv220910651T/abstract","2022arXiv220910651T")</f>
        <v>2022arXiv220910651T</v>
      </c>
      <c r="F342" s="1" t="s">
        <v>559</v>
      </c>
      <c r="G342" s="1" t="s">
        <v>72</v>
      </c>
      <c r="H342" s="1">
        <v>0.9846119</v>
      </c>
      <c r="I342" s="1" t="s">
        <v>560</v>
      </c>
    </row>
    <row r="343">
      <c r="A343" s="2" t="str">
        <f>HYPERLINK("https://ui.adsabs.harvard.edu/abs/2023EL....14126002T/abstract","2023EL....14126002T")</f>
        <v>2023EL....14126002T</v>
      </c>
      <c r="B343" s="2" t="str">
        <f>HYPERLINK("https://ui.adsabs.harvard.edu/abs/2022arXiv220105303T/abstract","2022arXiv220105303T")</f>
        <v>2022arXiv220105303T</v>
      </c>
      <c r="C343" s="1" t="s">
        <v>70</v>
      </c>
      <c r="E343" s="2" t="str">
        <f>HYPERLINK("https://ui.adsabs.harvard.edu/abs/2022arXiv220105303T/abstract","2022arXiv220105303T")</f>
        <v>2022arXiv220105303T</v>
      </c>
      <c r="F343" s="1" t="s">
        <v>561</v>
      </c>
      <c r="G343" s="1" t="s">
        <v>72</v>
      </c>
      <c r="H343" s="1">
        <v>0.9848253</v>
      </c>
      <c r="I343" s="1" t="s">
        <v>562</v>
      </c>
    </row>
    <row r="344">
      <c r="A344" s="2" t="str">
        <f>HYPERLINK("https://ui.adsabs.harvard.edu/abs/2023Geosc..13...21L/abstract","2023Geosc..13...21L")</f>
        <v>2023Geosc..13...21L</v>
      </c>
      <c r="B344" s="2" t="str">
        <f>HYPERLINK("https://ui.adsabs.harvard.edu/abs/2022arXiv220509375L/abstract","2022arXiv220509375L")</f>
        <v>2022arXiv220509375L</v>
      </c>
      <c r="C344" s="1" t="s">
        <v>70</v>
      </c>
      <c r="E344" s="2" t="str">
        <f>HYPERLINK("https://ui.adsabs.harvard.edu/abs/2022arXiv220509375L/abstract","2022arXiv220509375L")</f>
        <v>2022arXiv220509375L</v>
      </c>
      <c r="G344" s="1" t="s">
        <v>72</v>
      </c>
      <c r="H344" s="1">
        <v>0.9848506</v>
      </c>
      <c r="I344" s="1" t="s">
        <v>563</v>
      </c>
    </row>
    <row r="345">
      <c r="A345" s="2" t="str">
        <f>HYPERLINK("https://ui.adsabs.harvard.edu/abs/2023PhRvL.130c1802A/abstract","2023PhRvL.130c1802A")</f>
        <v>2023PhRvL.130c1802A</v>
      </c>
      <c r="E345" s="2" t="str">
        <f>HYPERLINK("https://ui.adsabs.harvard.edu/abs/2022arXiv220914968T/abstract","2022arXiv220914968T")</f>
        <v>2022arXiv220914968T</v>
      </c>
      <c r="G345" s="1" t="s">
        <v>72</v>
      </c>
      <c r="H345" s="1">
        <v>0.9849704</v>
      </c>
      <c r="I345" s="1" t="s">
        <v>564</v>
      </c>
    </row>
    <row r="346">
      <c r="A346" s="2" t="str">
        <f>HYPERLINK("https://ui.adsabs.harvard.edu/abs/2023SJSC...45B...1B/abstract","2023SJSC...45B...1B")</f>
        <v>2023SJSC...45B...1B</v>
      </c>
      <c r="C346" s="1" t="s">
        <v>12</v>
      </c>
      <c r="E346" s="2" t="str">
        <f>HYPERLINK("https://ui.adsabs.harvard.edu/abs/2021arXiv210807212B/abstract","2021arXiv210807212B")</f>
        <v>2021arXiv210807212B</v>
      </c>
      <c r="F346" s="1" t="s">
        <v>565</v>
      </c>
      <c r="G346" s="1" t="s">
        <v>72</v>
      </c>
      <c r="H346" s="1">
        <v>0.9851217</v>
      </c>
      <c r="I346" s="1" t="s">
        <v>566</v>
      </c>
    </row>
    <row r="347">
      <c r="A347" s="2" t="str">
        <f>HYPERLINK("https://ui.adsabs.harvard.edu/abs/2023SJSC...45A...1K/abstract","2023SJSC...45A...1K")</f>
        <v>2023SJSC...45A...1K</v>
      </c>
      <c r="C347" s="1" t="s">
        <v>12</v>
      </c>
      <c r="E347" s="2" t="str">
        <f>HYPERLINK("https://ui.adsabs.harvard.edu/abs/2021arXiv210707282K/abstract","2021arXiv210707282K")</f>
        <v>2021arXiv210707282K</v>
      </c>
      <c r="F347" s="1" t="s">
        <v>567</v>
      </c>
      <c r="G347" s="1" t="s">
        <v>72</v>
      </c>
      <c r="H347" s="1">
        <v>0.9851217</v>
      </c>
      <c r="I347" s="1" t="s">
        <v>566</v>
      </c>
    </row>
    <row r="348">
      <c r="A348" s="2" t="str">
        <f>HYPERLINK("https://ui.adsabs.harvard.edu/abs/2023HTrEn..44..391B/abstract","2023HTrEn..44..391B")</f>
        <v>2023HTrEn..44..391B</v>
      </c>
      <c r="B348" s="2" t="str">
        <f>HYPERLINK("https://ui.adsabs.harvard.edu/abs/2022arXiv220608371B/abstract","2022arXiv220608371B")</f>
        <v>2022arXiv220608371B</v>
      </c>
      <c r="C348" s="1" t="s">
        <v>70</v>
      </c>
      <c r="E348" s="2" t="str">
        <f>HYPERLINK("https://ui.adsabs.harvard.edu/abs/2022arXiv220608371B/abstract","2022arXiv220608371B")</f>
        <v>2022arXiv220608371B</v>
      </c>
      <c r="G348" s="1" t="s">
        <v>72</v>
      </c>
      <c r="H348" s="1">
        <v>0.9853745</v>
      </c>
      <c r="I348" s="1" t="s">
        <v>568</v>
      </c>
    </row>
    <row r="349">
      <c r="A349" s="2" t="str">
        <f>HYPERLINK("https://ui.adsabs.harvard.edu/abs/2023ITTST..13...58C/abstract","2023ITTST..13...58C")</f>
        <v>2023ITTST..13...58C</v>
      </c>
      <c r="B349" s="2" t="str">
        <f>HYPERLINK("https://ui.adsabs.harvard.edu/abs/2022arXiv220601485C/abstract","2022arXiv220601485C")</f>
        <v>2022arXiv220601485C</v>
      </c>
      <c r="C349" s="1" t="s">
        <v>70</v>
      </c>
      <c r="E349" s="2" t="str">
        <f>HYPERLINK("https://ui.adsabs.harvard.edu/abs/2022arXiv220601485C/abstract","2022arXiv220601485C")</f>
        <v>2022arXiv220601485C</v>
      </c>
      <c r="G349" s="1" t="s">
        <v>72</v>
      </c>
      <c r="H349" s="1">
        <v>0.9853745</v>
      </c>
      <c r="I349" s="1" t="s">
        <v>568</v>
      </c>
    </row>
    <row r="350">
      <c r="A350" s="2" t="str">
        <f>HYPERLINK("https://ui.adsabs.harvard.edu/abs/2023ApPhL.122c1902L/abstract","2023ApPhL.122c1902L")</f>
        <v>2023ApPhL.122c1902L</v>
      </c>
      <c r="B350" s="2" t="str">
        <f>HYPERLINK("https://ui.adsabs.harvard.edu/abs/2022arXiv221201743L/abstract","2022arXiv221201743L")</f>
        <v>2022arXiv221201743L</v>
      </c>
      <c r="C350" s="1" t="s">
        <v>70</v>
      </c>
      <c r="E350" s="2" t="str">
        <f>HYPERLINK("https://ui.adsabs.harvard.edu/abs/2022arXiv221201743L/abstract","2022arXiv221201743L")</f>
        <v>2022arXiv221201743L</v>
      </c>
      <c r="F350" s="1" t="s">
        <v>569</v>
      </c>
      <c r="G350" s="1" t="s">
        <v>72</v>
      </c>
      <c r="H350" s="1">
        <v>0.9853942</v>
      </c>
      <c r="I350" s="1" t="s">
        <v>570</v>
      </c>
    </row>
    <row r="351">
      <c r="A351" s="2" t="str">
        <f>HYPERLINK("https://ui.adsabs.harvard.edu/abs/2023PhRvL.130c1601D/abstract","2023PhRvL.130c1601D")</f>
        <v>2023PhRvL.130c1601D</v>
      </c>
      <c r="B351" s="2" t="str">
        <f>HYPERLINK("https://ui.adsabs.harvard.edu/abs/2022arXiv221009457D/abstract","2022arXiv221009457D")</f>
        <v>2022arXiv221009457D</v>
      </c>
      <c r="C351" s="1" t="s">
        <v>70</v>
      </c>
      <c r="E351" s="2" t="str">
        <f>HYPERLINK("https://ui.adsabs.harvard.edu/abs/2022arXiv221009457D/abstract","2022arXiv221009457D")</f>
        <v>2022arXiv221009457D</v>
      </c>
      <c r="F351" s="1" t="s">
        <v>571</v>
      </c>
      <c r="G351" s="1" t="s">
        <v>72</v>
      </c>
      <c r="H351" s="1">
        <v>0.9853942</v>
      </c>
      <c r="I351" s="1" t="s">
        <v>570</v>
      </c>
    </row>
    <row r="352">
      <c r="A352" s="2" t="str">
        <f>HYPERLINK("https://ui.adsabs.harvard.edu/abs/2023NatPh..19...46X/abstract","2023NatPh..19...46X")</f>
        <v>2023NatPh..19...46X</v>
      </c>
      <c r="B352" s="2" t="str">
        <f>HYPERLINK("https://ui.adsabs.harvard.edu/abs/2022arXiv220809664X/abstract","2022arXiv220809664X")</f>
        <v>2022arXiv220809664X</v>
      </c>
      <c r="C352" s="1" t="s">
        <v>70</v>
      </c>
      <c r="E352" s="2" t="str">
        <f>HYPERLINK("https://ui.adsabs.harvard.edu/abs/2022arXiv220809664X/abstract","2022arXiv220809664X")</f>
        <v>2022arXiv220809664X</v>
      </c>
      <c r="F352" s="1" t="s">
        <v>572</v>
      </c>
      <c r="G352" s="1" t="s">
        <v>72</v>
      </c>
      <c r="H352" s="1">
        <v>0.9854221</v>
      </c>
      <c r="I352" s="1" t="s">
        <v>573</v>
      </c>
    </row>
    <row r="353">
      <c r="A353" s="2" t="str">
        <f>HYPERLINK("https://ui.adsabs.harvard.edu/abs/2023PhRvE.107a4211A/abstract","2023PhRvE.107a4211A")</f>
        <v>2023PhRvE.107a4211A</v>
      </c>
      <c r="B353" s="2" t="str">
        <f>HYPERLINK("https://ui.adsabs.harvard.edu/abs/2022arXiv220802961A/abstract","2022arXiv220802961A")</f>
        <v>2022arXiv220802961A</v>
      </c>
      <c r="C353" s="1" t="s">
        <v>70</v>
      </c>
      <c r="E353" s="2" t="str">
        <f>HYPERLINK("https://ui.adsabs.harvard.edu/abs/2022arXiv220802961A/abstract","2022arXiv220802961A")</f>
        <v>2022arXiv220802961A</v>
      </c>
      <c r="F353" s="1" t="s">
        <v>574</v>
      </c>
      <c r="G353" s="1" t="s">
        <v>72</v>
      </c>
      <c r="H353" s="1">
        <v>0.9854221</v>
      </c>
      <c r="I353" s="1" t="s">
        <v>573</v>
      </c>
    </row>
    <row r="354">
      <c r="A354" s="2" t="str">
        <f>HYPERLINK("https://ui.adsabs.harvard.edu/abs/2023PhRvL.130c1801F/abstract","2023PhRvL.130c1801F")</f>
        <v>2023PhRvL.130c1801F</v>
      </c>
      <c r="B354" s="2" t="str">
        <f>HYPERLINK("https://ui.adsabs.harvard.edu/abs/2022arXiv220907612F/abstract","2022arXiv220907612F")</f>
        <v>2022arXiv220907612F</v>
      </c>
      <c r="C354" s="1" t="s">
        <v>70</v>
      </c>
      <c r="E354" s="2" t="str">
        <f>HYPERLINK("https://ui.adsabs.harvard.edu/abs/2022arXiv220907612F/abstract","2022arXiv220907612F")</f>
        <v>2022arXiv220907612F</v>
      </c>
      <c r="F354" s="1" t="s">
        <v>575</v>
      </c>
      <c r="G354" s="1" t="s">
        <v>72</v>
      </c>
      <c r="H354" s="1">
        <v>0.9854221</v>
      </c>
      <c r="I354" s="1" t="s">
        <v>573</v>
      </c>
    </row>
    <row r="355">
      <c r="A355" s="2" t="str">
        <f>HYPERLINK("https://ui.adsabs.harvard.edu/abs/2023npjQI...9....3S/abstract","2023npjQI...9....3S")</f>
        <v>2023npjQI...9....3S</v>
      </c>
      <c r="E355" s="2" t="str">
        <f>HYPERLINK("https://ui.adsabs.harvard.edu/abs/2021arXiv211013788S/abstract","2021arXiv211013788S")</f>
        <v>2021arXiv211013788S</v>
      </c>
      <c r="F355" s="1" t="s">
        <v>576</v>
      </c>
      <c r="G355" s="1" t="s">
        <v>72</v>
      </c>
      <c r="H355" s="1">
        <v>0.9854294</v>
      </c>
      <c r="I355" s="1" t="s">
        <v>577</v>
      </c>
    </row>
    <row r="356">
      <c r="A356" s="2" t="str">
        <f>HYPERLINK("https://ui.adsabs.harvard.edu/abs/2023EPJC...83...36X/abstract","2023EPJC...83...36X")</f>
        <v>2023EPJC...83...36X</v>
      </c>
      <c r="B356" s="2" t="str">
        <f>HYPERLINK("https://ui.adsabs.harvard.edu/abs/2022arXiv220311918X/abstract","2022arXiv220311918X")</f>
        <v>2022arXiv220311918X</v>
      </c>
      <c r="C356" s="1" t="s">
        <v>12</v>
      </c>
      <c r="D356" s="1" t="s">
        <v>578</v>
      </c>
      <c r="E356" s="2" t="str">
        <f>HYPERLINK("https://ui.adsabs.harvard.edu/abs/2021arXiv211209661X/abstract","2021arXiv211209661X")</f>
        <v>2021arXiv211209661X</v>
      </c>
      <c r="F356" s="1" t="s">
        <v>579</v>
      </c>
      <c r="G356" s="1" t="s">
        <v>72</v>
      </c>
      <c r="H356" s="1">
        <v>0.9854294</v>
      </c>
      <c r="I356" s="1" t="s">
        <v>577</v>
      </c>
    </row>
    <row r="357">
      <c r="A357" s="2" t="str">
        <f>HYPERLINK("https://ui.adsabs.harvard.edu/abs/2023PhyD..44533653A/abstract","2023PhyD..44533653A")</f>
        <v>2023PhyD..44533653A</v>
      </c>
      <c r="E357" s="2" t="str">
        <f>HYPERLINK("https://ui.adsabs.harvard.edu/abs/2021arXiv210211711A/abstract","2021arXiv210211711A")</f>
        <v>2021arXiv210211711A</v>
      </c>
      <c r="F357" s="1" t="s">
        <v>580</v>
      </c>
      <c r="G357" s="1" t="s">
        <v>72</v>
      </c>
      <c r="H357" s="1">
        <v>0.9854294</v>
      </c>
      <c r="I357" s="1" t="s">
        <v>577</v>
      </c>
    </row>
    <row r="358">
      <c r="A358" s="2" t="str">
        <f>HYPERLINK("https://ui.adsabs.harvard.edu/abs/2023NuPhB.98716083B/abstract","2023NuPhB.98716083B")</f>
        <v>2023NuPhB.98716083B</v>
      </c>
      <c r="E358" s="2" t="str">
        <f>HYPERLINK("https://ui.adsabs.harvard.edu/abs/2021arXiv211211825B/abstract","2021arXiv211211825B")</f>
        <v>2021arXiv211211825B</v>
      </c>
      <c r="F358" s="1" t="s">
        <v>581</v>
      </c>
      <c r="G358" s="1" t="s">
        <v>72</v>
      </c>
      <c r="H358" s="1">
        <v>0.9854294</v>
      </c>
      <c r="I358" s="1" t="s">
        <v>577</v>
      </c>
    </row>
    <row r="359">
      <c r="A359" s="2" t="str">
        <f>HYPERLINK("https://ui.adsabs.harvard.edu/abs/2023PhRvR...5a3023F/abstract","2023PhRvR...5a3023F")</f>
        <v>2023PhRvR...5a3023F</v>
      </c>
      <c r="E359" s="2" t="str">
        <f>HYPERLINK("https://ui.adsabs.harvard.edu/abs/2021arXiv210707324F/abstract","2021arXiv210707324F")</f>
        <v>2021arXiv210707324F</v>
      </c>
      <c r="F359" s="1" t="s">
        <v>582</v>
      </c>
      <c r="G359" s="1" t="s">
        <v>72</v>
      </c>
      <c r="H359" s="1">
        <v>0.9854294</v>
      </c>
      <c r="I359" s="1" t="s">
        <v>577</v>
      </c>
    </row>
    <row r="360">
      <c r="A360" s="2" t="str">
        <f>HYPERLINK("https://ui.adsabs.harvard.edu/abs/2021Quant...5..482B/abstract","2021Quant...5..482B")</f>
        <v>2021Quant...5..482B</v>
      </c>
      <c r="E360" s="2" t="str">
        <f>HYPERLINK("https://ui.adsabs.harvard.edu/abs/2019arXiv190202110B/abstract","2019arXiv190202110B")</f>
        <v>2019arXiv190202110B</v>
      </c>
      <c r="F360" s="1" t="s">
        <v>583</v>
      </c>
      <c r="G360" s="1" t="s">
        <v>72</v>
      </c>
      <c r="H360" s="1">
        <v>0.9854294</v>
      </c>
      <c r="I360" s="1" t="s">
        <v>577</v>
      </c>
    </row>
    <row r="361">
      <c r="A361" s="2" t="str">
        <f>HYPERLINK("https://ui.adsabs.harvard.edu/abs/2022Quant...6..678B/abstract","2022Quant...6..678B")</f>
        <v>2022Quant...6..678B</v>
      </c>
      <c r="E361" s="2" t="str">
        <f>HYPERLINK("https://ui.adsabs.harvard.edu/abs/2020arXiv201113420B/abstract","2020arXiv201113420B")</f>
        <v>2020arXiv201113420B</v>
      </c>
      <c r="F361" s="1" t="s">
        <v>584</v>
      </c>
      <c r="G361" s="1" t="s">
        <v>72</v>
      </c>
      <c r="H361" s="1">
        <v>0.9854294</v>
      </c>
      <c r="I361" s="1" t="s">
        <v>577</v>
      </c>
    </row>
    <row r="362">
      <c r="A362" s="2" t="str">
        <f>HYPERLINK("https://ui.adsabs.harvard.edu/abs/2022Quant...6..681P/abstract","2022Quant...6..681P")</f>
        <v>2022Quant...6..681P</v>
      </c>
      <c r="E362" s="2" t="str">
        <f>HYPERLINK("https://ui.adsabs.harvard.edu/abs/2020arXiv201012572P/abstract","2020arXiv201012572P")</f>
        <v>2020arXiv201012572P</v>
      </c>
      <c r="F362" s="1" t="s">
        <v>585</v>
      </c>
      <c r="G362" s="1" t="s">
        <v>72</v>
      </c>
      <c r="H362" s="1">
        <v>0.9854294</v>
      </c>
      <c r="I362" s="1" t="s">
        <v>577</v>
      </c>
    </row>
    <row r="363">
      <c r="A363" s="2" t="str">
        <f>HYPERLINK("https://ui.adsabs.harvard.edu/abs/2022Quant...6..691T/abstract","2022Quant...6..691T")</f>
        <v>2022Quant...6..691T</v>
      </c>
      <c r="E363" s="2" t="str">
        <f>HYPERLINK("https://ui.adsabs.harvard.edu/abs/2020arXiv200906860T/abstract","2020arXiv200906860T")</f>
        <v>2020arXiv200906860T</v>
      </c>
      <c r="F363" s="1" t="s">
        <v>586</v>
      </c>
      <c r="G363" s="1" t="s">
        <v>72</v>
      </c>
      <c r="H363" s="1">
        <v>0.9854294</v>
      </c>
      <c r="I363" s="1" t="s">
        <v>577</v>
      </c>
    </row>
    <row r="364">
      <c r="A364" s="2" t="str">
        <f>HYPERLINK("https://ui.adsabs.harvard.edu/abs/2023Quant...7..898P/abstract","2023Quant...7..898P")</f>
        <v>2023Quant...7..898P</v>
      </c>
      <c r="E364" s="2" t="str">
        <f>HYPERLINK("https://ui.adsabs.harvard.edu/abs/2021arXiv211102596P/abstract","2021arXiv211102596P")</f>
        <v>2021arXiv211102596P</v>
      </c>
      <c r="F364" s="1" t="s">
        <v>587</v>
      </c>
      <c r="G364" s="1" t="s">
        <v>72</v>
      </c>
      <c r="H364" s="1">
        <v>0.9854294</v>
      </c>
      <c r="I364" s="1" t="s">
        <v>577</v>
      </c>
    </row>
    <row r="365">
      <c r="A365" s="2" t="str">
        <f>HYPERLINK("https://ui.adsabs.harvard.edu/abs/2023Quant...7..900W/abstract","2023Quant...7..900W")</f>
        <v>2023Quant...7..900W</v>
      </c>
      <c r="E365" s="2" t="str">
        <f>HYPERLINK("https://ui.adsabs.harvard.edu/abs/2021arXiv210913594W/abstract","2021arXiv210913594W")</f>
        <v>2021arXiv210913594W</v>
      </c>
      <c r="F365" s="1" t="s">
        <v>588</v>
      </c>
      <c r="G365" s="1" t="s">
        <v>72</v>
      </c>
      <c r="H365" s="1">
        <v>0.9854294</v>
      </c>
      <c r="I365" s="1" t="s">
        <v>577</v>
      </c>
    </row>
    <row r="366">
      <c r="A366" s="2" t="str">
        <f>HYPERLINK("https://ui.adsabs.harvard.edu/abs/2023JPhA...56a5301N/abstract","2023JPhA...56a5301N")</f>
        <v>2023JPhA...56a5301N</v>
      </c>
      <c r="E366" s="2" t="str">
        <f>HYPERLINK("https://ui.adsabs.harvard.edu/abs/2021arXiv210803521N/abstract","2021arXiv210803521N")</f>
        <v>2021arXiv210803521N</v>
      </c>
      <c r="F366" s="1" t="s">
        <v>589</v>
      </c>
      <c r="G366" s="1" t="s">
        <v>72</v>
      </c>
      <c r="H366" s="1">
        <v>0.9854294</v>
      </c>
      <c r="I366" s="1" t="s">
        <v>577</v>
      </c>
    </row>
    <row r="367">
      <c r="A367" s="2" t="str">
        <f>HYPERLINK("https://ui.adsabs.harvard.edu/abs/2023MLS&amp;T...4a5005H/abstract","2023MLS&amp;T...4a5005H")</f>
        <v>2023MLS&amp;T...4a5005H</v>
      </c>
      <c r="E367" s="2" t="str">
        <f>HYPERLINK("https://ui.adsabs.harvard.edu/abs/2021arXiv210801039H/abstract","2021arXiv210801039H")</f>
        <v>2021arXiv210801039H</v>
      </c>
      <c r="F367" s="1" t="s">
        <v>590</v>
      </c>
      <c r="G367" s="1" t="s">
        <v>72</v>
      </c>
      <c r="H367" s="1">
        <v>0.9854294</v>
      </c>
      <c r="I367" s="1" t="s">
        <v>577</v>
      </c>
    </row>
    <row r="368">
      <c r="A368" s="2" t="str">
        <f>HYPERLINK("https://ui.adsabs.harvard.edu/abs/2023JPhA...56a0401M/abstract","2023JPhA...56a0401M")</f>
        <v>2023JPhA...56a0401M</v>
      </c>
      <c r="B368" s="2" t="str">
        <f>HYPERLINK("https://ui.adsabs.harvard.edu/abs/2023arXiv230100800M/abstract","2023arXiv230100800M")</f>
        <v>2023arXiv230100800M</v>
      </c>
      <c r="C368" s="1" t="s">
        <v>70</v>
      </c>
      <c r="E368" s="2" t="str">
        <f>HYPERLINK("https://ui.adsabs.harvard.edu/abs/2023arXiv230100800M/abstract","2023arXiv230100800M")</f>
        <v>2023arXiv230100800M</v>
      </c>
      <c r="F368" s="1" t="s">
        <v>591</v>
      </c>
      <c r="G368" s="1" t="s">
        <v>72</v>
      </c>
      <c r="H368" s="1">
        <v>0.9857317</v>
      </c>
      <c r="I368" s="1" t="s">
        <v>592</v>
      </c>
    </row>
    <row r="369">
      <c r="A369" s="2" t="str">
        <f>HYPERLINK("https://ui.adsabs.harvard.edu/abs/2023JNEng..20a6013B/abstract","2023JNEng..20a6013B")</f>
        <v>2023JNEng..20a6013B</v>
      </c>
      <c r="B369" s="2" t="str">
        <f>HYPERLINK("https://ui.adsabs.harvard.edu/abs/2022arXiv220901511B/abstract","2022arXiv220901511B")</f>
        <v>2022arXiv220901511B</v>
      </c>
      <c r="C369" s="1" t="s">
        <v>70</v>
      </c>
      <c r="E369" s="2" t="str">
        <f>HYPERLINK("https://ui.adsabs.harvard.edu/abs/2022arXiv220901511B/abstract","2022arXiv220901511B")</f>
        <v>2022arXiv220901511B</v>
      </c>
      <c r="F369" s="1" t="s">
        <v>593</v>
      </c>
      <c r="G369" s="1" t="s">
        <v>72</v>
      </c>
      <c r="H369" s="1">
        <v>0.9858069</v>
      </c>
      <c r="I369" s="1" t="s">
        <v>594</v>
      </c>
    </row>
    <row r="370">
      <c r="A370" s="2" t="str">
        <f>HYPERLINK("https://ui.adsabs.harvard.edu/abs/2023PhRvB.107c5133S/abstract","2023PhRvB.107c5133S")</f>
        <v>2023PhRvB.107c5133S</v>
      </c>
      <c r="B370" s="2" t="str">
        <f>HYPERLINK("https://ui.adsabs.harvard.edu/abs/2022arXiv220805913S/abstract","2022arXiv220805913S")</f>
        <v>2022arXiv220805913S</v>
      </c>
      <c r="C370" s="1" t="s">
        <v>70</v>
      </c>
      <c r="E370" s="2" t="str">
        <f>HYPERLINK("https://ui.adsabs.harvard.edu/abs/2022arXiv220805913S/abstract","2022arXiv220805913S")</f>
        <v>2022arXiv220805913S</v>
      </c>
      <c r="F370" s="1" t="s">
        <v>595</v>
      </c>
      <c r="G370" s="1" t="s">
        <v>72</v>
      </c>
      <c r="H370" s="1">
        <v>0.9858069</v>
      </c>
      <c r="I370" s="1" t="s">
        <v>594</v>
      </c>
    </row>
    <row r="371">
      <c r="A371" s="2" t="str">
        <f>HYPERLINK("https://ui.adsabs.harvard.edu/abs/2023PhRvC.107a5203S/abstract","2023PhRvC.107a5203S")</f>
        <v>2023PhRvC.107a5203S</v>
      </c>
      <c r="B371" s="2" t="str">
        <f>HYPERLINK("https://ui.adsabs.harvard.edu/abs/2022arXiv221112029S/abstract","2022arXiv221112029S")</f>
        <v>2022arXiv221112029S</v>
      </c>
      <c r="C371" s="1" t="s">
        <v>70</v>
      </c>
      <c r="E371" s="2" t="str">
        <f>HYPERLINK("https://ui.adsabs.harvard.edu/abs/2022arXiv221112029S/abstract","2022arXiv221112029S")</f>
        <v>2022arXiv221112029S</v>
      </c>
      <c r="F371" s="1" t="s">
        <v>596</v>
      </c>
      <c r="G371" s="1" t="s">
        <v>72</v>
      </c>
      <c r="H371" s="1">
        <v>0.9858069</v>
      </c>
      <c r="I371" s="1" t="s">
        <v>594</v>
      </c>
    </row>
    <row r="372">
      <c r="A372" s="2" t="str">
        <f>HYPERLINK("https://ui.adsabs.harvard.edu/abs/2023Senso..23..962P/abstract","2023Senso..23..962P")</f>
        <v>2023Senso..23..962P</v>
      </c>
      <c r="B372" s="2" t="str">
        <f>HYPERLINK("https://ui.adsabs.harvard.edu/abs/2022arXiv221110339P/abstract","2022arXiv221110339P")</f>
        <v>2022arXiv221110339P</v>
      </c>
      <c r="C372" s="1" t="s">
        <v>70</v>
      </c>
      <c r="E372" s="2" t="str">
        <f>HYPERLINK("https://ui.adsabs.harvard.edu/abs/2022arXiv221110339P/abstract","2022arXiv221110339P")</f>
        <v>2022arXiv221110339P</v>
      </c>
      <c r="F372" s="1" t="s">
        <v>597</v>
      </c>
      <c r="G372" s="1" t="s">
        <v>72</v>
      </c>
      <c r="H372" s="1">
        <v>0.9858069</v>
      </c>
      <c r="I372" s="1" t="s">
        <v>594</v>
      </c>
    </row>
    <row r="373">
      <c r="A373" s="2" t="str">
        <f>HYPERLINK("https://ui.adsabs.harvard.edu/abs/2023SMat...19..366P/abstract","2023SMat...19..366P")</f>
        <v>2023SMat...19..366P</v>
      </c>
      <c r="B373" s="2" t="str">
        <f>HYPERLINK("https://ui.adsabs.harvard.edu/abs/2022arXiv221213518P/abstract","2022arXiv221213518P")</f>
        <v>2022arXiv221213518P</v>
      </c>
      <c r="C373" s="1" t="s">
        <v>70</v>
      </c>
      <c r="E373" s="2" t="str">
        <f>HYPERLINK("https://ui.adsabs.harvard.edu/abs/2022arXiv221213518P/abstract","2022arXiv221213518P")</f>
        <v>2022arXiv221213518P</v>
      </c>
      <c r="F373" s="1" t="s">
        <v>598</v>
      </c>
      <c r="G373" s="1" t="s">
        <v>72</v>
      </c>
      <c r="H373" s="1">
        <v>0.9859695</v>
      </c>
      <c r="I373" s="1" t="s">
        <v>599</v>
      </c>
    </row>
    <row r="374">
      <c r="A374" s="2" t="str">
        <f>HYPERLINK("https://ui.adsabs.harvard.edu/abs/2018Quant...2...55M/abstract","2018Quant...2...55M")</f>
        <v>2018Quant...2...55M</v>
      </c>
      <c r="E374" s="2" t="str">
        <f>HYPERLINK("https://ui.adsabs.harvard.edu/abs/2016arXiv160700041M/abstract","2016arXiv160700041M")</f>
        <v>2016arXiv160700041M</v>
      </c>
      <c r="G374" s="1" t="s">
        <v>72</v>
      </c>
      <c r="H374" s="1">
        <v>0.9860387</v>
      </c>
      <c r="I374" s="1" t="s">
        <v>600</v>
      </c>
    </row>
    <row r="375">
      <c r="A375" s="2" t="str">
        <f>HYPERLINK("https://ui.adsabs.harvard.edu/abs/2023PhyS...98b5303J/abstract","2023PhyS...98b5303J")</f>
        <v>2023PhyS...98b5303J</v>
      </c>
      <c r="B375" s="2" t="str">
        <f>HYPERLINK("https://ui.adsabs.harvard.edu/abs/2023arXiv230104363J/abstract","2023arXiv230104363J")</f>
        <v>2023arXiv230104363J</v>
      </c>
      <c r="C375" s="1" t="s">
        <v>70</v>
      </c>
      <c r="E375" s="2" t="str">
        <f>HYPERLINK("https://ui.adsabs.harvard.edu/abs/2023arXiv230104363J/abstract","2023arXiv230104363J")</f>
        <v>2023arXiv230104363J</v>
      </c>
      <c r="F375" s="1" t="s">
        <v>601</v>
      </c>
      <c r="G375" s="1" t="s">
        <v>72</v>
      </c>
      <c r="H375" s="1">
        <v>0.9860792</v>
      </c>
      <c r="I375" s="1" t="s">
        <v>602</v>
      </c>
    </row>
    <row r="376">
      <c r="A376" s="2" t="str">
        <f>HYPERLINK("https://ui.adsabs.harvard.edu/abs/2023JMFM...25...19D/abstract","2023JMFM...25...19D")</f>
        <v>2023JMFM...25...19D</v>
      </c>
      <c r="B376" s="2" t="str">
        <f>HYPERLINK("https://ui.adsabs.harvard.edu/abs/2022arXiv220707472D/abstract","2022arXiv220707472D")</f>
        <v>2022arXiv220707472D</v>
      </c>
      <c r="C376" s="1" t="s">
        <v>70</v>
      </c>
      <c r="E376" s="2" t="str">
        <f>HYPERLINK("https://ui.adsabs.harvard.edu/abs/2022arXiv220707472D/abstract","2022arXiv220707472D")</f>
        <v>2022arXiv220707472D</v>
      </c>
      <c r="F376" s="1" t="s">
        <v>603</v>
      </c>
      <c r="G376" s="1" t="s">
        <v>72</v>
      </c>
      <c r="H376" s="1">
        <v>0.9862081</v>
      </c>
      <c r="I376" s="1" t="s">
        <v>604</v>
      </c>
    </row>
    <row r="377">
      <c r="A377" s="2" t="str">
        <f>HYPERLINK("https://ui.adsabs.harvard.edu/abs/2023JHEP...01..063B/abstract","2023JHEP...01..063B")</f>
        <v>2023JHEP...01..063B</v>
      </c>
      <c r="B377" s="2" t="str">
        <f>HYPERLINK("https://ui.adsabs.harvard.edu/abs/2022arXiv221002805B/abstract","2022arXiv221002805B")</f>
        <v>2022arXiv221002805B</v>
      </c>
      <c r="C377" s="1" t="s">
        <v>70</v>
      </c>
      <c r="E377" s="2" t="str">
        <f>HYPERLINK("https://ui.adsabs.harvard.edu/abs/2022arXiv221002805B/abstract","2022arXiv221002805B")</f>
        <v>2022arXiv221002805B</v>
      </c>
      <c r="F377" s="1" t="s">
        <v>605</v>
      </c>
      <c r="G377" s="1" t="s">
        <v>72</v>
      </c>
      <c r="H377" s="1">
        <v>0.9862081</v>
      </c>
      <c r="I377" s="1" t="s">
        <v>604</v>
      </c>
    </row>
    <row r="378">
      <c r="A378" s="2" t="str">
        <f>HYPERLINK("https://ui.adsabs.harvard.edu/abs/2023MicNa...9...11S/abstract","2023MicNa...9...11S")</f>
        <v>2023MicNa...9...11S</v>
      </c>
      <c r="B378" s="2" t="str">
        <f>HYPERLINK("https://ui.adsabs.harvard.edu/abs/2022arXiv220802591S/abstract","2022arXiv220802591S")</f>
        <v>2022arXiv220802591S</v>
      </c>
      <c r="C378" s="1" t="s">
        <v>70</v>
      </c>
      <c r="E378" s="2" t="str">
        <f>HYPERLINK("https://ui.adsabs.harvard.edu/abs/2022arXiv220802591S/abstract","2022arXiv220802591S")</f>
        <v>2022arXiv220802591S</v>
      </c>
      <c r="F378" s="1" t="s">
        <v>606</v>
      </c>
      <c r="G378" s="1" t="s">
        <v>72</v>
      </c>
      <c r="H378" s="1">
        <v>0.9862081</v>
      </c>
      <c r="I378" s="1" t="s">
        <v>604</v>
      </c>
    </row>
    <row r="379">
      <c r="A379" s="2" t="str">
        <f>HYPERLINK("https://ui.adsabs.harvard.edu/abs/2023PhRvB.107c5124T/abstract","2023PhRvB.107c5124T")</f>
        <v>2023PhRvB.107c5124T</v>
      </c>
      <c r="B379" s="2" t="str">
        <f>HYPERLINK("https://ui.adsabs.harvard.edu/abs/2022arXiv220809382T/abstract","2022arXiv220809382T")</f>
        <v>2022arXiv220809382T</v>
      </c>
      <c r="C379" s="1" t="s">
        <v>70</v>
      </c>
      <c r="E379" s="2" t="str">
        <f>HYPERLINK("https://ui.adsabs.harvard.edu/abs/2022arXiv220809382T/abstract","2022arXiv220809382T")</f>
        <v>2022arXiv220809382T</v>
      </c>
      <c r="F379" s="1" t="s">
        <v>607</v>
      </c>
      <c r="G379" s="1" t="s">
        <v>72</v>
      </c>
      <c r="H379" s="1">
        <v>0.9862081</v>
      </c>
      <c r="I379" s="1" t="s">
        <v>604</v>
      </c>
    </row>
    <row r="380">
      <c r="A380" s="2" t="str">
        <f>HYPERLINK("https://ui.adsabs.harvard.edu/abs/2023PhRvD.107b6011B/abstract","2023PhRvD.107b6011B")</f>
        <v>2023PhRvD.107b6011B</v>
      </c>
      <c r="B380" s="2" t="str">
        <f>HYPERLINK("https://ui.adsabs.harvard.edu/abs/2022arXiv220812718B/abstract","2022arXiv220812718B")</f>
        <v>2022arXiv220812718B</v>
      </c>
      <c r="C380" s="1" t="s">
        <v>70</v>
      </c>
      <c r="E380" s="2" t="str">
        <f>HYPERLINK("https://ui.adsabs.harvard.edu/abs/2022arXiv220812718B/abstract","2022arXiv220812718B")</f>
        <v>2022arXiv220812718B</v>
      </c>
      <c r="F380" s="1" t="s">
        <v>608</v>
      </c>
      <c r="G380" s="1" t="s">
        <v>72</v>
      </c>
      <c r="H380" s="1">
        <v>0.9862081</v>
      </c>
      <c r="I380" s="1" t="s">
        <v>604</v>
      </c>
    </row>
    <row r="381">
      <c r="A381" s="2" t="str">
        <f>HYPERLINK("https://ui.adsabs.harvard.edu/abs/2023npjQM...8....5D/abstract","2023npjQM...8....5D")</f>
        <v>2023npjQM...8....5D</v>
      </c>
      <c r="B381" s="2" t="str">
        <f>HYPERLINK("https://ui.adsabs.harvard.edu/abs/2022arXiv220511770D/abstract","2022arXiv220511770D")</f>
        <v>2022arXiv220511770D</v>
      </c>
      <c r="C381" s="1" t="s">
        <v>70</v>
      </c>
      <c r="E381" s="2" t="str">
        <f>HYPERLINK("https://ui.adsabs.harvard.edu/abs/2022arXiv220511770D/abstract","2022arXiv220511770D")</f>
        <v>2022arXiv220511770D</v>
      </c>
      <c r="F381" s="1" t="s">
        <v>609</v>
      </c>
      <c r="G381" s="1" t="s">
        <v>72</v>
      </c>
      <c r="H381" s="1">
        <v>0.9864756</v>
      </c>
      <c r="I381" s="1" t="s">
        <v>610</v>
      </c>
    </row>
    <row r="382">
      <c r="A382" s="2" t="str">
        <f>HYPERLINK("https://ui.adsabs.harvard.edu/abs/2017Quant...1...38H/abstract","2017Quant...1...38H")</f>
        <v>2017Quant...1...38H</v>
      </c>
      <c r="E382" s="2" t="str">
        <f>HYPERLINK("https://ui.adsabs.harvard.edu/abs/2014arXiv1412.8323H/abstract","2014arXiv1412.8323H")</f>
        <v>2014arXiv1412.8323H</v>
      </c>
      <c r="G382" s="1" t="s">
        <v>72</v>
      </c>
      <c r="H382" s="1">
        <v>0.9865397</v>
      </c>
      <c r="I382" s="1" t="s">
        <v>611</v>
      </c>
    </row>
    <row r="383">
      <c r="A383" s="2" t="str">
        <f>HYPERLINK("https://ui.adsabs.harvard.edu/abs/2023QuIP...22...44M/abstract","2023QuIP...22...44M")</f>
        <v>2023QuIP...22...44M</v>
      </c>
      <c r="E383" s="2" t="str">
        <f>HYPERLINK("https://ui.adsabs.harvard.edu/abs/2022arXiv220404048B/abstract","2022arXiv220404048B")</f>
        <v>2022arXiv220404048B</v>
      </c>
      <c r="G383" s="1" t="s">
        <v>72</v>
      </c>
      <c r="H383" s="1">
        <v>0.9865955</v>
      </c>
      <c r="I383" s="1" t="s">
        <v>612</v>
      </c>
    </row>
    <row r="384">
      <c r="A384" s="2" t="str">
        <f>HYPERLINK("https://ui.adsabs.harvard.edu/abs/2023SCPMA..6621011B/abstract","2023SCPMA..6621011B")</f>
        <v>2023SCPMA..6621011B</v>
      </c>
      <c r="E384" s="2" t="str">
        <f>HYPERLINK("https://ui.adsabs.harvard.edu/abs/2022arXiv220613956B/abstract","2022arXiv220613956B")</f>
        <v>2022arXiv220613956B</v>
      </c>
      <c r="G384" s="1" t="s">
        <v>72</v>
      </c>
      <c r="H384" s="1">
        <v>0.9865955</v>
      </c>
      <c r="I384" s="1" t="s">
        <v>75</v>
      </c>
    </row>
    <row r="385">
      <c r="A385" s="2" t="str">
        <f>HYPERLINK("https://ui.adsabs.harvard.edu/abs/2023PhRvD.107b3014O/abstract","2023PhRvD.107b3014O")</f>
        <v>2023PhRvD.107b3014O</v>
      </c>
      <c r="B385" s="2" t="str">
        <f>HYPERLINK("https://ui.adsabs.harvard.edu/abs/2022arXiv220812185O/abstract","2022arXiv220812185O")</f>
        <v>2022arXiv220812185O</v>
      </c>
      <c r="C385" s="1" t="s">
        <v>70</v>
      </c>
      <c r="E385" s="2" t="str">
        <f>HYPERLINK("https://ui.adsabs.harvard.edu/abs/2022arXiv220812185O/abstract","2022arXiv220812185O")</f>
        <v>2022arXiv220812185O</v>
      </c>
      <c r="F385" s="1" t="s">
        <v>613</v>
      </c>
      <c r="G385" s="1" t="s">
        <v>72</v>
      </c>
      <c r="H385" s="1">
        <v>0.9867641</v>
      </c>
      <c r="I385" s="1" t="s">
        <v>614</v>
      </c>
    </row>
    <row r="386">
      <c r="A386" s="2" t="str">
        <f>HYPERLINK("https://ui.adsabs.harvard.edu/abs/2022Quant...6..625G/abstract","2022Quant...6..625G")</f>
        <v>2022Quant...6..625G</v>
      </c>
      <c r="E386" s="2" t="str">
        <f>HYPERLINK("https://ui.adsabs.harvard.edu/abs/2019arXiv190904613B/abstract","2019arXiv190904613B")</f>
        <v>2019arXiv190904613B</v>
      </c>
      <c r="G386" s="1" t="s">
        <v>72</v>
      </c>
      <c r="H386" s="1">
        <v>0.9869425</v>
      </c>
      <c r="I386" s="1" t="s">
        <v>615</v>
      </c>
    </row>
    <row r="387">
      <c r="A387" s="2" t="str">
        <f>HYPERLINK("https://ui.adsabs.harvard.edu/abs/2023PhRvD.107b2008F/abstract","2023PhRvD.107b2008F")</f>
        <v>2023PhRvD.107b2008F</v>
      </c>
      <c r="B387" s="2" t="str">
        <f>HYPERLINK("https://ui.adsabs.harvard.edu/abs/2022arXiv220804575F/abstract","2022arXiv220804575F")</f>
        <v>2022arXiv220804575F</v>
      </c>
      <c r="C387" s="1" t="s">
        <v>70</v>
      </c>
      <c r="E387" s="2" t="str">
        <f>HYPERLINK("https://ui.adsabs.harvard.edu/abs/2022arXiv220804575F/abstract","2022arXiv220804575F")</f>
        <v>2022arXiv220804575F</v>
      </c>
      <c r="F387" s="1" t="s">
        <v>616</v>
      </c>
      <c r="G387" s="1" t="s">
        <v>72</v>
      </c>
      <c r="H387" s="1">
        <v>0.9870022</v>
      </c>
      <c r="I387" s="1" t="s">
        <v>617</v>
      </c>
    </row>
    <row r="388">
      <c r="A388" s="2" t="str">
        <f>HYPERLINK("https://ui.adsabs.harvard.edu/abs/2020Quant...4..301M/abstract","2020Quant...4..301M")</f>
        <v>2020Quant...4..301M</v>
      </c>
      <c r="E388" s="2" t="str">
        <f>HYPERLINK("https://ui.adsabs.harvard.edu/abs/2017arXiv171201826M/abstract","2017arXiv171201826M")</f>
        <v>2017arXiv171201826M</v>
      </c>
      <c r="G388" s="1" t="s">
        <v>72</v>
      </c>
      <c r="H388" s="1">
        <v>0.9871395</v>
      </c>
      <c r="I388" s="1" t="s">
        <v>618</v>
      </c>
    </row>
    <row r="389">
      <c r="A389" s="2" t="str">
        <f>HYPERLINK("https://ui.adsabs.harvard.edu/abs/2023PhRvA.107a3710S/abstract","2023PhRvA.107a3710S")</f>
        <v>2023PhRvA.107a3710S</v>
      </c>
      <c r="B389" s="2" t="str">
        <f>HYPERLINK("https://ui.adsabs.harvard.edu/abs/2022arXiv220804102S/abstract","2022arXiv220804102S")</f>
        <v>2022arXiv220804102S</v>
      </c>
      <c r="C389" s="1" t="s">
        <v>70</v>
      </c>
      <c r="E389" s="2" t="str">
        <f>HYPERLINK("https://ui.adsabs.harvard.edu/abs/2022arXiv220804102S/abstract","2022arXiv220804102S")</f>
        <v>2022arXiv220804102S</v>
      </c>
      <c r="G389" s="1" t="s">
        <v>72</v>
      </c>
      <c r="H389" s="1">
        <v>0.9872839</v>
      </c>
      <c r="I389" s="1" t="s">
        <v>619</v>
      </c>
    </row>
    <row r="390">
      <c r="A390" s="2" t="str">
        <f>HYPERLINK("https://ui.adsabs.harvard.edu/abs/2021Quant...5..530K/abstract","2021Quant...5..530K")</f>
        <v>2021Quant...5..530K</v>
      </c>
      <c r="B390" s="2" t="str">
        <f>HYPERLINK("https://ui.adsabs.harvard.edu/abs/2020arXiv201101951K/abstract","2020arXiv201101951K")</f>
        <v>2020arXiv201101951K</v>
      </c>
      <c r="C390" s="1" t="s">
        <v>70</v>
      </c>
      <c r="E390" s="2" t="str">
        <f>HYPERLINK("https://ui.adsabs.harvard.edu/abs/2020arXiv201101951K/abstract","2020arXiv201101951K")</f>
        <v>2020arXiv201101951K</v>
      </c>
      <c r="G390" s="1" t="s">
        <v>72</v>
      </c>
      <c r="H390" s="1">
        <v>0.9872839</v>
      </c>
      <c r="I390" s="1" t="s">
        <v>619</v>
      </c>
    </row>
    <row r="391">
      <c r="A391" s="2" t="str">
        <f>HYPERLINK("https://ui.adsabs.harvard.edu/abs/2022Quant...6..744M/abstract","2022Quant...6..744M")</f>
        <v>2022Quant...6..744M</v>
      </c>
      <c r="E391" s="2" t="str">
        <f>HYPERLINK("https://ui.adsabs.harvard.edu/abs/2021arXiv210412808H/abstract","2021arXiv210412808H")</f>
        <v>2021arXiv210412808H</v>
      </c>
      <c r="G391" s="1" t="s">
        <v>72</v>
      </c>
      <c r="H391" s="1">
        <v>0.9872839</v>
      </c>
      <c r="I391" s="1" t="s">
        <v>619</v>
      </c>
    </row>
    <row r="392">
      <c r="A392" s="2" t="str">
        <f>HYPERLINK("https://ui.adsabs.harvard.edu/abs/2022Quant...6..690A/abstract","2022Quant...6..690A")</f>
        <v>2022Quant...6..690A</v>
      </c>
      <c r="E392" s="2" t="str">
        <f>HYPERLINK("https://ui.adsabs.harvard.edu/abs/2021arXiv211103103A/abstract","2021arXiv211103103A")</f>
        <v>2021arXiv211103103A</v>
      </c>
      <c r="F392" s="1" t="s">
        <v>620</v>
      </c>
      <c r="G392" s="1" t="s">
        <v>72</v>
      </c>
      <c r="H392" s="1">
        <v>0.98737</v>
      </c>
      <c r="I392" s="1" t="s">
        <v>621</v>
      </c>
    </row>
    <row r="393">
      <c r="A393" s="2" t="str">
        <f>HYPERLINK("https://ui.adsabs.harvard.edu/abs/2023PhRvD.107a6008H/abstract","2023PhRvD.107a6008H")</f>
        <v>2023PhRvD.107a6008H</v>
      </c>
      <c r="E393" s="2" t="str">
        <f>HYPERLINK("https://ui.adsabs.harvard.edu/abs/2022arXiv220905143C/abstract","2022arXiv220905143C")</f>
        <v>2022arXiv220905143C</v>
      </c>
      <c r="F393" s="1" t="s">
        <v>622</v>
      </c>
      <c r="G393" s="1" t="s">
        <v>72</v>
      </c>
      <c r="H393" s="1">
        <v>0.9875526</v>
      </c>
      <c r="I393" s="1" t="s">
        <v>623</v>
      </c>
    </row>
    <row r="394">
      <c r="A394" s="2" t="str">
        <f>HYPERLINK("https://ui.adsabs.harvard.edu/abs/2023CMaPh.tmp...17K/abstract","2023CMaPh.tmp...17K")</f>
        <v>2023CMaPh.tmp...17K</v>
      </c>
      <c r="B394" s="2" t="str">
        <f>HYPERLINK("https://ui.adsabs.harvard.edu/abs/2022arXiv220316815K/abstract","2022arXiv220316815K")</f>
        <v>2022arXiv220316815K</v>
      </c>
      <c r="C394" s="1" t="s">
        <v>70</v>
      </c>
      <c r="E394" s="2" t="str">
        <f>HYPERLINK("https://ui.adsabs.harvard.edu/abs/2022arXiv220316815K/abstract","2022arXiv220316815K")</f>
        <v>2022arXiv220316815K</v>
      </c>
      <c r="F394" s="1" t="s">
        <v>624</v>
      </c>
      <c r="G394" s="1" t="s">
        <v>72</v>
      </c>
      <c r="H394" s="1">
        <v>0.9877276</v>
      </c>
      <c r="I394" s="1" t="s">
        <v>625</v>
      </c>
    </row>
    <row r="395">
      <c r="A395" s="2" t="str">
        <f>HYPERLINK("https://ui.adsabs.harvard.edu/abs/2023FrPhy..1832301Z/abstract","2023FrPhy..1832301Z")</f>
        <v>2023FrPhy..1832301Z</v>
      </c>
      <c r="B395" s="2" t="str">
        <f>HYPERLINK("https://ui.adsabs.harvard.edu/abs/2022arXiv220907920Z/abstract","2022arXiv220907920Z")</f>
        <v>2022arXiv220907920Z</v>
      </c>
      <c r="C395" s="1" t="s">
        <v>70</v>
      </c>
      <c r="E395" s="2" t="str">
        <f>HYPERLINK("https://ui.adsabs.harvard.edu/abs/2022arXiv220907920Z/abstract","2022arXiv220907920Z")</f>
        <v>2022arXiv220907920Z</v>
      </c>
      <c r="F395" s="1" t="s">
        <v>626</v>
      </c>
      <c r="G395" s="1" t="s">
        <v>72</v>
      </c>
      <c r="H395" s="1">
        <v>0.9877276</v>
      </c>
      <c r="I395" s="1" t="s">
        <v>625</v>
      </c>
    </row>
    <row r="396">
      <c r="A396" s="2" t="str">
        <f>HYPERLINK("https://ui.adsabs.harvard.edu/abs/2023JHEP...01..062C/abstract","2023JHEP...01..062C")</f>
        <v>2023JHEP...01..062C</v>
      </c>
      <c r="B396" s="2" t="str">
        <f>HYPERLINK("https://ui.adsabs.harvard.edu/abs/2022arXiv221014539C/abstract","2022arXiv221014539C")</f>
        <v>2022arXiv221014539C</v>
      </c>
      <c r="C396" s="1" t="s">
        <v>70</v>
      </c>
      <c r="E396" s="2" t="str">
        <f>HYPERLINK("https://ui.adsabs.harvard.edu/abs/2022arXiv221014539C/abstract","2022arXiv221014539C")</f>
        <v>2022arXiv221014539C</v>
      </c>
      <c r="F396" s="1" t="s">
        <v>627</v>
      </c>
      <c r="G396" s="1" t="s">
        <v>72</v>
      </c>
      <c r="H396" s="1">
        <v>0.9877276</v>
      </c>
      <c r="I396" s="1" t="s">
        <v>625</v>
      </c>
    </row>
    <row r="397">
      <c r="A397" s="2" t="str">
        <f>HYPERLINK("https://ui.adsabs.harvard.edu/abs/2023JSMTE2023a3205D/abstract","2023JSMTE2023a3205D")</f>
        <v>2023JSMTE2023a3205D</v>
      </c>
      <c r="B397" s="2" t="str">
        <f>HYPERLINK("https://ui.adsabs.harvard.edu/abs/2022arXiv220810446D/abstract","2022arXiv220810446D")</f>
        <v>2022arXiv220810446D</v>
      </c>
      <c r="C397" s="1" t="s">
        <v>70</v>
      </c>
      <c r="E397" s="2" t="str">
        <f>HYPERLINK("https://ui.adsabs.harvard.edu/abs/2022arXiv220810446D/abstract","2022arXiv220810446D")</f>
        <v>2022arXiv220810446D</v>
      </c>
      <c r="F397" s="1" t="s">
        <v>628</v>
      </c>
      <c r="G397" s="1" t="s">
        <v>72</v>
      </c>
      <c r="H397" s="1">
        <v>0.9877276</v>
      </c>
      <c r="I397" s="1" t="s">
        <v>625</v>
      </c>
    </row>
    <row r="398">
      <c r="A398" s="2" t="str">
        <f>HYPERLINK("https://ui.adsabs.harvard.edu/abs/2023JChPh.158c4105W/abstract","2023JChPh.158c4105W")</f>
        <v>2023JChPh.158c4105W</v>
      </c>
      <c r="B398" s="2" t="str">
        <f>HYPERLINK("https://ui.adsabs.harvard.edu/abs/2022arXiv221005295W/abstract","2022arXiv221005295W")</f>
        <v>2022arXiv221005295W</v>
      </c>
      <c r="C398" s="1" t="s">
        <v>70</v>
      </c>
      <c r="E398" s="2" t="str">
        <f>HYPERLINK("https://ui.adsabs.harvard.edu/abs/2022arXiv221005295W/abstract","2022arXiv221005295W")</f>
        <v>2022arXiv221005295W</v>
      </c>
      <c r="F398" s="1" t="s">
        <v>629</v>
      </c>
      <c r="G398" s="1" t="s">
        <v>72</v>
      </c>
      <c r="H398" s="1">
        <v>0.9877276</v>
      </c>
      <c r="I398" s="1" t="s">
        <v>625</v>
      </c>
    </row>
    <row r="399">
      <c r="A399" s="2" t="str">
        <f>HYPERLINK("https://ui.adsabs.harvard.edu/abs/2023JPhA...56a5204A/abstract","2023JPhA...56a5204A")</f>
        <v>2023JPhA...56a5204A</v>
      </c>
      <c r="B399" s="2" t="str">
        <f>HYPERLINK("https://ui.adsabs.harvard.edu/abs/2022arXiv220513329A/abstract","2022arXiv220513329A")</f>
        <v>2022arXiv220513329A</v>
      </c>
      <c r="C399" s="1" t="s">
        <v>70</v>
      </c>
      <c r="E399" s="2" t="str">
        <f>HYPERLINK("https://ui.adsabs.harvard.edu/abs/2022arXiv220513329A/abstract","2022arXiv220513329A")</f>
        <v>2022arXiv220513329A</v>
      </c>
      <c r="F399" s="1" t="s">
        <v>630</v>
      </c>
      <c r="G399" s="1" t="s">
        <v>72</v>
      </c>
      <c r="H399" s="1">
        <v>0.9877276</v>
      </c>
      <c r="I399" s="1" t="s">
        <v>625</v>
      </c>
    </row>
    <row r="400">
      <c r="A400" s="2" t="str">
        <f>HYPERLINK("https://ui.adsabs.harvard.edu/abs/2023EPJC...83...20A/abstract","2023EPJC...83...20A")</f>
        <v>2023EPJC...83...20A</v>
      </c>
      <c r="B400" s="2" t="str">
        <f>HYPERLINK("https://ui.adsabs.harvard.edu/abs/2022arXiv220801760A/abstract","2022arXiv220801760A")</f>
        <v>2022arXiv220801760A</v>
      </c>
      <c r="C400" s="1" t="s">
        <v>70</v>
      </c>
      <c r="E400" s="2" t="str">
        <f>HYPERLINK("https://ui.adsabs.harvard.edu/abs/2022arXiv220801760A/abstract","2022arXiv220801760A")</f>
        <v>2022arXiv220801760A</v>
      </c>
      <c r="F400" s="1" t="s">
        <v>631</v>
      </c>
      <c r="G400" s="1" t="s">
        <v>72</v>
      </c>
      <c r="H400" s="1">
        <v>0.9878708</v>
      </c>
      <c r="I400" s="1" t="s">
        <v>632</v>
      </c>
    </row>
    <row r="401">
      <c r="A401" s="2" t="str">
        <f>HYPERLINK("https://ui.adsabs.harvard.edu/abs/2023JAP...133c3904N/abstract","2023JAP...133c3904N")</f>
        <v>2023JAP...133c3904N</v>
      </c>
      <c r="E401" s="2" t="str">
        <f>HYPERLINK("https://ui.adsabs.harvard.edu/abs/2022arXiv220811086N/abstract","2022arXiv220811086N")</f>
        <v>2022arXiv220811086N</v>
      </c>
      <c r="G401" s="1" t="s">
        <v>72</v>
      </c>
      <c r="H401" s="1">
        <v>0.987949</v>
      </c>
      <c r="I401" s="1" t="s">
        <v>633</v>
      </c>
    </row>
    <row r="402">
      <c r="A402" s="2" t="str">
        <f>HYPERLINK("https://ui.adsabs.harvard.edu/abs/2023JHEP...01..049M/abstract","2023JHEP...01..049M")</f>
        <v>2023JHEP...01..049M</v>
      </c>
      <c r="B402" s="2" t="str">
        <f>HYPERLINK("https://ui.adsabs.harvard.edu/abs/2022arXiv221001118M/abstract","2022arXiv221001118M")</f>
        <v>2022arXiv221001118M</v>
      </c>
      <c r="C402" s="1" t="s">
        <v>70</v>
      </c>
      <c r="E402" s="2" t="str">
        <f>HYPERLINK("https://ui.adsabs.harvard.edu/abs/2022arXiv221001118M/abstract","2022arXiv221001118M")</f>
        <v>2022arXiv221001118M</v>
      </c>
      <c r="F402" s="1" t="s">
        <v>634</v>
      </c>
      <c r="G402" s="1" t="s">
        <v>72</v>
      </c>
      <c r="H402" s="1">
        <v>0.9880292</v>
      </c>
      <c r="I402" s="1" t="s">
        <v>635</v>
      </c>
    </row>
    <row r="403">
      <c r="A403" s="2" t="str">
        <f>HYPERLINK("https://ui.adsabs.harvard.edu/abs/2023JMMM..56870385Z/abstract","2023JMMM..56870385Z")</f>
        <v>2023JMMM..56870385Z</v>
      </c>
      <c r="B403" s="2" t="str">
        <f>HYPERLINK("https://ui.adsabs.harvard.edu/abs/2022arXiv220814312Z/abstract","2022arXiv220814312Z")</f>
        <v>2022arXiv220814312Z</v>
      </c>
      <c r="C403" s="1" t="s">
        <v>70</v>
      </c>
      <c r="E403" s="2" t="str">
        <f>HYPERLINK("https://ui.adsabs.harvard.edu/abs/2022arXiv220814312Z/abstract","2022arXiv220814312Z")</f>
        <v>2022arXiv220814312Z</v>
      </c>
      <c r="F403" s="1" t="s">
        <v>636</v>
      </c>
      <c r="G403" s="1" t="s">
        <v>72</v>
      </c>
      <c r="H403" s="1">
        <v>0.9880308</v>
      </c>
      <c r="I403" s="1" t="s">
        <v>637</v>
      </c>
    </row>
    <row r="404">
      <c r="A404" s="2" t="str">
        <f>HYPERLINK("https://ui.adsabs.harvard.edu/abs/2023EPJC...83...37B/abstract","2023EPJC...83...37B")</f>
        <v>2023EPJC...83...37B</v>
      </c>
      <c r="B404" s="2" t="str">
        <f>HYPERLINK("https://ui.adsabs.harvard.edu/abs/2022arXiv220901423B/abstract","2022arXiv220901423B")</f>
        <v>2022arXiv220901423B</v>
      </c>
      <c r="C404" s="1" t="s">
        <v>70</v>
      </c>
      <c r="E404" s="2" t="str">
        <f>HYPERLINK("https://ui.adsabs.harvard.edu/abs/2022arXiv220901423B/abstract","2022arXiv220901423B")</f>
        <v>2022arXiv220901423B</v>
      </c>
      <c r="F404" s="1" t="s">
        <v>638</v>
      </c>
      <c r="G404" s="1" t="s">
        <v>72</v>
      </c>
      <c r="H404" s="1">
        <v>0.988189</v>
      </c>
      <c r="I404" s="1" t="s">
        <v>639</v>
      </c>
    </row>
    <row r="405">
      <c r="A405" s="2" t="str">
        <f>HYPERLINK("https://ui.adsabs.harvard.edu/abs/2023EPJC...83...27D/abstract","2023EPJC...83...27D")</f>
        <v>2023EPJC...83...27D</v>
      </c>
      <c r="B405" s="2" t="str">
        <f>HYPERLINK("https://ui.adsabs.harvard.edu/abs/2022arXiv220903414D/abstract","2022arXiv220903414D")</f>
        <v>2022arXiv220903414D</v>
      </c>
      <c r="C405" s="1" t="s">
        <v>70</v>
      </c>
      <c r="E405" s="2" t="str">
        <f>HYPERLINK("https://ui.adsabs.harvard.edu/abs/2022arXiv220903414D/abstract","2022arXiv220903414D")</f>
        <v>2022arXiv220903414D</v>
      </c>
      <c r="G405" s="1" t="s">
        <v>72</v>
      </c>
      <c r="H405" s="1">
        <v>0.9883375</v>
      </c>
      <c r="I405" s="1" t="s">
        <v>640</v>
      </c>
    </row>
    <row r="406">
      <c r="A406" s="2" t="str">
        <f>HYPERLINK("https://ui.adsabs.harvard.edu/abs/2023PhRvM...7a3401Y/abstract","2023PhRvM...7a3401Y")</f>
        <v>2023PhRvM...7a3401Y</v>
      </c>
      <c r="B406" s="2" t="str">
        <f>HYPERLINK("https://ui.adsabs.harvard.edu/abs/2022arXiv221107806Y/abstract","2022arXiv221107806Y")</f>
        <v>2022arXiv221107806Y</v>
      </c>
      <c r="C406" s="1" t="s">
        <v>70</v>
      </c>
      <c r="E406" s="2" t="str">
        <f>HYPERLINK("https://ui.adsabs.harvard.edu/abs/2022arXiv221107806Y/abstract","2022arXiv221107806Y")</f>
        <v>2022arXiv221107806Y</v>
      </c>
      <c r="F406" s="1" t="s">
        <v>641</v>
      </c>
      <c r="G406" s="1" t="s">
        <v>72</v>
      </c>
      <c r="H406" s="1">
        <v>0.9883651</v>
      </c>
      <c r="I406" s="1" t="s">
        <v>642</v>
      </c>
    </row>
    <row r="407">
      <c r="A407" s="2" t="str">
        <f>HYPERLINK("https://ui.adsabs.harvard.edu/abs/2023NatCh..15..136S/abstract","2023NatCh..15..136S")</f>
        <v>2023NatCh..15..136S</v>
      </c>
      <c r="E407" s="2" t="str">
        <f>HYPERLINK("https://ui.adsabs.harvard.edu/abs/2021arXiv211110124S/abstract","2021arXiv211110124S")</f>
        <v>2021arXiv211110124S</v>
      </c>
      <c r="G407" s="1" t="s">
        <v>72</v>
      </c>
      <c r="H407" s="1">
        <v>0.98839</v>
      </c>
      <c r="I407" s="1" t="s">
        <v>643</v>
      </c>
    </row>
    <row r="408">
      <c r="A408" s="2" t="str">
        <f>HYPERLINK("https://ui.adsabs.harvard.edu/abs/2023PhyD..44633655C/abstract","2023PhyD..44633655C")</f>
        <v>2023PhyD..44633655C</v>
      </c>
      <c r="B408" s="2" t="str">
        <f>HYPERLINK("https://ui.adsabs.harvard.edu/abs/2022arXiv220608872C/abstract","2022arXiv220608872C")</f>
        <v>2022arXiv220608872C</v>
      </c>
      <c r="C408" s="1" t="s">
        <v>70</v>
      </c>
      <c r="E408" s="2" t="str">
        <f>HYPERLINK("https://ui.adsabs.harvard.edu/abs/2022arXiv220608872C/abstract","2022arXiv220608872C")</f>
        <v>2022arXiv220608872C</v>
      </c>
      <c r="G408" s="1" t="s">
        <v>72</v>
      </c>
      <c r="H408" s="1">
        <v>0.9884095</v>
      </c>
      <c r="I408" s="1" t="s">
        <v>644</v>
      </c>
    </row>
    <row r="409">
      <c r="A409" s="2" t="str">
        <f>HYPERLINK("https://ui.adsabs.harvard.edu/abs/2021Quant...5..468B/abstract","2021Quant...5..468B")</f>
        <v>2021Quant...5..468B</v>
      </c>
      <c r="E409" s="2" t="str">
        <f>HYPERLINK("https://ui.adsabs.harvard.edu/abs/2020arXiv201214689B/abstract","2020arXiv201214689B")</f>
        <v>2020arXiv201214689B</v>
      </c>
      <c r="G409" s="1" t="s">
        <v>72</v>
      </c>
      <c r="H409" s="1">
        <v>0.9885416</v>
      </c>
      <c r="I409" s="1" t="s">
        <v>645</v>
      </c>
    </row>
    <row r="410">
      <c r="A410" s="2" t="str">
        <f>HYPERLINK("https://ui.adsabs.harvard.edu/abs/2023PhRvA.107a3711H/abstract","2023PhRvA.107a3711H")</f>
        <v>2023PhRvA.107a3711H</v>
      </c>
      <c r="B410" s="2" t="str">
        <f>HYPERLINK("https://ui.adsabs.harvard.edu/abs/2022arXiv220906140H/abstract","2022arXiv220906140H")</f>
        <v>2022arXiv220906140H</v>
      </c>
      <c r="C410" s="1" t="s">
        <v>70</v>
      </c>
      <c r="E410" s="2" t="str">
        <f>HYPERLINK("https://ui.adsabs.harvard.edu/abs/2022arXiv220906140H/abstract","2022arXiv220906140H")</f>
        <v>2022arXiv220906140H</v>
      </c>
      <c r="F410" s="1" t="s">
        <v>646</v>
      </c>
      <c r="G410" s="1" t="s">
        <v>72</v>
      </c>
      <c r="H410" s="1">
        <v>0.9885578</v>
      </c>
      <c r="I410" s="1" t="s">
        <v>647</v>
      </c>
    </row>
    <row r="411">
      <c r="A411" s="2" t="str">
        <f>HYPERLINK("https://ui.adsabs.harvard.edu/abs/2023PhRvD.107b4028H/abstract","2023PhRvD.107b4028H")</f>
        <v>2023PhRvD.107b4028H</v>
      </c>
      <c r="B411" s="2" t="str">
        <f>HYPERLINK("https://ui.adsabs.harvard.edu/abs/2022arXiv221115983H/abstract","2022arXiv221115983H")</f>
        <v>2022arXiv221115983H</v>
      </c>
      <c r="C411" s="1" t="s">
        <v>70</v>
      </c>
      <c r="E411" s="2" t="str">
        <f>HYPERLINK("https://ui.adsabs.harvard.edu/abs/2022arXiv221115983H/abstract","2022arXiv221115983H")</f>
        <v>2022arXiv221115983H</v>
      </c>
      <c r="F411" s="1" t="s">
        <v>648</v>
      </c>
      <c r="G411" s="1" t="s">
        <v>72</v>
      </c>
      <c r="H411" s="1">
        <v>0.9885578</v>
      </c>
      <c r="I411" s="1" t="s">
        <v>647</v>
      </c>
    </row>
    <row r="412">
      <c r="A412" s="2" t="str">
        <f>HYPERLINK("https://ui.adsabs.harvard.edu/abs/2023RvMP...95a1002C/abstract","2023RvMP...95a1002C")</f>
        <v>2023RvMP...95a1002C</v>
      </c>
      <c r="B412" s="2" t="str">
        <f>HYPERLINK("https://ui.adsabs.harvard.edu/abs/2022arXiv220213902C/abstract","2022arXiv220213902C")</f>
        <v>2022arXiv220213902C</v>
      </c>
      <c r="C412" s="1" t="s">
        <v>70</v>
      </c>
      <c r="E412" s="2" t="str">
        <f>HYPERLINK("https://ui.adsabs.harvard.edu/abs/2022arXiv220213902C/abstract","2022arXiv220213902C")</f>
        <v>2022arXiv220213902C</v>
      </c>
      <c r="F412" s="1" t="s">
        <v>649</v>
      </c>
      <c r="G412" s="1" t="s">
        <v>72</v>
      </c>
      <c r="H412" s="1">
        <v>0.9885578</v>
      </c>
      <c r="I412" s="1" t="s">
        <v>647</v>
      </c>
    </row>
    <row r="413">
      <c r="A413" s="2" t="str">
        <f>HYPERLINK("https://ui.adsabs.harvard.edu/abs/2023JFM...955A..20C/abstract","2023JFM...955A..20C")</f>
        <v>2023JFM...955A..20C</v>
      </c>
      <c r="B413" s="2" t="str">
        <f>HYPERLINK("https://ui.adsabs.harvard.edu/abs/2022arXiv220201686C/abstract","2022arXiv220201686C")</f>
        <v>2022arXiv220201686C</v>
      </c>
      <c r="C413" s="1" t="s">
        <v>70</v>
      </c>
      <c r="E413" s="2" t="str">
        <f>HYPERLINK("https://ui.adsabs.harvard.edu/abs/2022arXiv220201686C/abstract","2022arXiv220201686C")</f>
        <v>2022arXiv220201686C</v>
      </c>
      <c r="F413" s="1" t="s">
        <v>650</v>
      </c>
      <c r="G413" s="1" t="s">
        <v>72</v>
      </c>
      <c r="H413" s="1">
        <v>0.9885578</v>
      </c>
      <c r="I413" s="1" t="s">
        <v>647</v>
      </c>
    </row>
    <row r="414">
      <c r="A414" s="2" t="str">
        <f>HYPERLINK("https://ui.adsabs.harvard.edu/abs/2023PhRvM...7a5002L/abstract","2023PhRvM...7a5002L")</f>
        <v>2023PhRvM...7a5002L</v>
      </c>
      <c r="B414" s="2" t="str">
        <f>HYPERLINK("https://ui.adsabs.harvard.edu/abs/2022arXiv220702991L/abstract","2022arXiv220702991L")</f>
        <v>2022arXiv220702991L</v>
      </c>
      <c r="C414" s="1" t="s">
        <v>70</v>
      </c>
      <c r="E414" s="2" t="str">
        <f>HYPERLINK("https://ui.adsabs.harvard.edu/abs/2022arXiv220702991L/abstract","2022arXiv220702991L")</f>
        <v>2022arXiv220702991L</v>
      </c>
      <c r="F414" s="1" t="s">
        <v>651</v>
      </c>
      <c r="G414" s="1" t="s">
        <v>72</v>
      </c>
      <c r="H414" s="1">
        <v>0.9887156</v>
      </c>
      <c r="I414" s="1" t="s">
        <v>652</v>
      </c>
    </row>
    <row r="415">
      <c r="A415" s="2" t="str">
        <f>HYPERLINK("https://ui.adsabs.harvard.edu/abs/2022Quant...6..879G/abstract","2022Quant...6..879G")</f>
        <v>2022Quant...6..879G</v>
      </c>
      <c r="B415" s="2" t="str">
        <f>HYPERLINK("https://ui.adsabs.harvard.edu/abs/2021arXiv211101779G/abstract","2021arXiv211101779G")</f>
        <v>2021arXiv211101779G</v>
      </c>
      <c r="C415" s="1" t="s">
        <v>70</v>
      </c>
      <c r="E415" s="2" t="str">
        <f>HYPERLINK("https://ui.adsabs.harvard.edu/abs/2021arXiv211101779G/abstract","2021arXiv211101779G")</f>
        <v>2021arXiv211101779G</v>
      </c>
      <c r="G415" s="1" t="s">
        <v>72</v>
      </c>
      <c r="H415" s="1">
        <v>0.9887573</v>
      </c>
      <c r="I415" s="1" t="s">
        <v>653</v>
      </c>
    </row>
    <row r="416">
      <c r="A416" s="2" t="str">
        <f>HYPERLINK("https://ui.adsabs.harvard.edu/abs/2023PhRvB.107c5423K/abstract","2023PhRvB.107c5423K")</f>
        <v>2023PhRvB.107c5423K</v>
      </c>
      <c r="B416" s="2" t="str">
        <f>HYPERLINK("https://ui.adsabs.harvard.edu/abs/2022arXiv220604830K/abstract","2022arXiv220604830K")</f>
        <v>2022arXiv220604830K</v>
      </c>
      <c r="C416" s="1" t="s">
        <v>70</v>
      </c>
      <c r="E416" s="2" t="str">
        <f>HYPERLINK("https://ui.adsabs.harvard.edu/abs/2022arXiv220604830K/abstract","2022arXiv220604830K")</f>
        <v>2022arXiv220604830K</v>
      </c>
      <c r="F416" s="1" t="s">
        <v>654</v>
      </c>
      <c r="G416" s="1" t="s">
        <v>72</v>
      </c>
      <c r="H416" s="1">
        <v>0.9889026</v>
      </c>
      <c r="I416" s="1" t="s">
        <v>655</v>
      </c>
    </row>
    <row r="417">
      <c r="A417" s="2" t="str">
        <f>HYPERLINK("https://ui.adsabs.harvard.edu/abs/2023PhRvD.107b4017N/abstract","2023PhRvD.107b4017N")</f>
        <v>2023PhRvD.107b4017N</v>
      </c>
      <c r="B417" s="2" t="str">
        <f>HYPERLINK("https://ui.adsabs.harvard.edu/abs/2022arXiv220710410N/abstract","2022arXiv220710410N")</f>
        <v>2022arXiv220710410N</v>
      </c>
      <c r="C417" s="1" t="s">
        <v>70</v>
      </c>
      <c r="E417" s="2" t="str">
        <f>HYPERLINK("https://ui.adsabs.harvard.edu/abs/2022arXiv220710410N/abstract","2022arXiv220710410N")</f>
        <v>2022arXiv220710410N</v>
      </c>
      <c r="F417" s="1" t="s">
        <v>656</v>
      </c>
      <c r="G417" s="1" t="s">
        <v>72</v>
      </c>
      <c r="H417" s="1">
        <v>0.9889026</v>
      </c>
      <c r="I417" s="1" t="s">
        <v>655</v>
      </c>
    </row>
    <row r="418">
      <c r="A418" s="2" t="str">
        <f>HYPERLINK("https://ui.adsabs.harvard.edu/abs/2023OptL...48..608B/abstract","2023OptL...48..608B")</f>
        <v>2023OptL...48..608B</v>
      </c>
      <c r="B418" s="2" t="str">
        <f>HYPERLINK("https://ui.adsabs.harvard.edu/abs/2022arXiv221004280B/abstract","2022arXiv221004280B")</f>
        <v>2022arXiv221004280B</v>
      </c>
      <c r="C418" s="1" t="s">
        <v>70</v>
      </c>
      <c r="E418" s="2" t="str">
        <f>HYPERLINK("https://ui.adsabs.harvard.edu/abs/2022arXiv221004280B/abstract","2022arXiv221004280B")</f>
        <v>2022arXiv221004280B</v>
      </c>
      <c r="F418" s="1" t="s">
        <v>657</v>
      </c>
      <c r="G418" s="1" t="s">
        <v>72</v>
      </c>
      <c r="H418" s="1">
        <v>0.9889026</v>
      </c>
      <c r="I418" s="1" t="s">
        <v>655</v>
      </c>
    </row>
    <row r="419">
      <c r="A419" s="2" t="str">
        <f>HYPERLINK("https://ui.adsabs.harvard.edu/abs/2023AdM....3507932Y/abstract","2023AdM....3507932Y")</f>
        <v>2023AdM....3507932Y</v>
      </c>
      <c r="C419" s="1" t="s">
        <v>658</v>
      </c>
      <c r="E419" s="2" t="str">
        <f>HYPERLINK("https://ui.adsabs.harvard.edu/abs/2022arXiv220902409Y/abstract","2022arXiv220902409Y")</f>
        <v>2022arXiv220902409Y</v>
      </c>
      <c r="F419" s="1" t="s">
        <v>659</v>
      </c>
      <c r="G419" s="1" t="s">
        <v>72</v>
      </c>
      <c r="H419" s="1">
        <v>0.9889107</v>
      </c>
      <c r="I419" s="1" t="s">
        <v>660</v>
      </c>
    </row>
    <row r="420">
      <c r="A420" s="2" t="str">
        <f>HYPERLINK("https://ui.adsabs.harvard.edu/abs/2023JMFM...25...18S/abstract","2023JMFM...25...18S")</f>
        <v>2023JMFM...25...18S</v>
      </c>
      <c r="B420" s="2" t="str">
        <f>HYPERLINK("https://ui.adsabs.harvard.edu/abs/2022arXiv220401909S/abstract","2022arXiv220401909S")</f>
        <v>2022arXiv220401909S</v>
      </c>
      <c r="C420" s="1" t="s">
        <v>70</v>
      </c>
      <c r="E420" s="2" t="str">
        <f>HYPERLINK("https://ui.adsabs.harvard.edu/abs/2022arXiv220401909S/abstract","2022arXiv220401909S")</f>
        <v>2022arXiv220401909S</v>
      </c>
      <c r="F420" s="1" t="s">
        <v>661</v>
      </c>
      <c r="G420" s="1" t="s">
        <v>72</v>
      </c>
      <c r="H420" s="1">
        <v>0.9890557</v>
      </c>
      <c r="I420" s="1" t="s">
        <v>662</v>
      </c>
    </row>
    <row r="421">
      <c r="A421" s="2" t="str">
        <f>HYPERLINK("https://ui.adsabs.harvard.edu/abs/2023JHEP...01..035C/abstract","2023JHEP...01..035C")</f>
        <v>2023JHEP...01..035C</v>
      </c>
      <c r="B421" s="2" t="str">
        <f>HYPERLINK("https://ui.adsabs.harvard.edu/abs/2022arXiv220913564C/abstract","2022arXiv220913564C")</f>
        <v>2022arXiv220913564C</v>
      </c>
      <c r="C421" s="1" t="s">
        <v>70</v>
      </c>
      <c r="E421" s="2" t="str">
        <f>HYPERLINK("https://ui.adsabs.harvard.edu/abs/2022arXiv220913564C/abstract","2022arXiv220913564C")</f>
        <v>2022arXiv220913564C</v>
      </c>
      <c r="F421" s="1" t="s">
        <v>663</v>
      </c>
      <c r="G421" s="1" t="s">
        <v>72</v>
      </c>
      <c r="H421" s="1">
        <v>0.9890557</v>
      </c>
      <c r="I421" s="1" t="s">
        <v>662</v>
      </c>
    </row>
    <row r="422">
      <c r="A422" s="2" t="str">
        <f>HYPERLINK("https://ui.adsabs.harvard.edu/abs/2023JHEP...01..061K/abstract","2023JHEP...01..061K")</f>
        <v>2023JHEP...01..061K</v>
      </c>
      <c r="B422" s="2" t="str">
        <f>HYPERLINK("https://ui.adsabs.harvard.edu/abs/2022arXiv220309601K/abstract","2022arXiv220309601K")</f>
        <v>2022arXiv220309601K</v>
      </c>
      <c r="C422" s="1" t="s">
        <v>70</v>
      </c>
      <c r="E422" s="2" t="str">
        <f>HYPERLINK("https://ui.adsabs.harvard.edu/abs/2022arXiv220309601K/abstract","2022arXiv220309601K")</f>
        <v>2022arXiv220309601K</v>
      </c>
      <c r="F422" s="1" t="s">
        <v>664</v>
      </c>
      <c r="G422" s="1" t="s">
        <v>72</v>
      </c>
      <c r="H422" s="1">
        <v>0.9890557</v>
      </c>
      <c r="I422" s="1" t="s">
        <v>662</v>
      </c>
    </row>
    <row r="423">
      <c r="A423" s="2" t="str">
        <f>HYPERLINK("https://ui.adsabs.harvard.edu/abs/2023PhRvD.107b6016M/abstract","2023PhRvD.107b6016M")</f>
        <v>2023PhRvD.107b6016M</v>
      </c>
      <c r="B423" s="2" t="str">
        <f>HYPERLINK("https://ui.adsabs.harvard.edu/abs/2022arXiv220701625M/abstract","2022arXiv220701625M")</f>
        <v>2022arXiv220701625M</v>
      </c>
      <c r="C423" s="1" t="s">
        <v>70</v>
      </c>
      <c r="E423" s="2" t="str">
        <f>HYPERLINK("https://ui.adsabs.harvard.edu/abs/2022arXiv220701625M/abstract","2022arXiv220701625M")</f>
        <v>2022arXiv220701625M</v>
      </c>
      <c r="F423" s="1" t="s">
        <v>665</v>
      </c>
      <c r="G423" s="1" t="s">
        <v>72</v>
      </c>
      <c r="H423" s="1">
        <v>0.9890557</v>
      </c>
      <c r="I423" s="1" t="s">
        <v>662</v>
      </c>
    </row>
    <row r="424">
      <c r="A424" s="2" t="str">
        <f>HYPERLINK("https://ui.adsabs.harvard.edu/abs/2023JInst..18P1027A/abstract","2023JInst..18P1027A")</f>
        <v>2023JInst..18P1027A</v>
      </c>
      <c r="B424" s="2" t="str">
        <f>HYPERLINK("https://ui.adsabs.harvard.edu/abs/2022arXiv220908002A/abstract","2022arXiv220908002A")</f>
        <v>2022arXiv220908002A</v>
      </c>
      <c r="C424" s="1" t="s">
        <v>70</v>
      </c>
      <c r="E424" s="2" t="str">
        <f>HYPERLINK("https://ui.adsabs.harvard.edu/abs/2022arXiv220908002A/abstract","2022arXiv220908002A")</f>
        <v>2022arXiv220908002A</v>
      </c>
      <c r="F424" s="1" t="s">
        <v>666</v>
      </c>
      <c r="G424" s="1" t="s">
        <v>72</v>
      </c>
      <c r="H424" s="1">
        <v>0.9890557</v>
      </c>
      <c r="I424" s="1" t="s">
        <v>662</v>
      </c>
    </row>
    <row r="425">
      <c r="A425" s="2" t="str">
        <f>HYPERLINK("https://ui.adsabs.harvard.edu/abs/2023QuIP...22...41C/abstract","2023QuIP...22...41C")</f>
        <v>2023QuIP...22...41C</v>
      </c>
      <c r="B425" s="2" t="str">
        <f>HYPERLINK("https://ui.adsabs.harvard.edu/abs/2022arXiv220313857C/abstract","2022arXiv220313857C")</f>
        <v>2022arXiv220313857C</v>
      </c>
      <c r="C425" s="1" t="s">
        <v>70</v>
      </c>
      <c r="E425" s="2" t="str">
        <f>HYPERLINK("https://ui.adsabs.harvard.edu/abs/2022arXiv220313857C/abstract","2022arXiv220313857C")</f>
        <v>2022arXiv220313857C</v>
      </c>
      <c r="F425" s="1" t="s">
        <v>667</v>
      </c>
      <c r="G425" s="1" t="s">
        <v>72</v>
      </c>
      <c r="H425" s="1">
        <v>0.9891776</v>
      </c>
      <c r="I425" s="1" t="s">
        <v>668</v>
      </c>
    </row>
    <row r="426">
      <c r="A426" s="2" t="str">
        <f>HYPERLINK("https://ui.adsabs.harvard.edu/abs/2023FrPhy..1833304G/abstract","2023FrPhy..1833304G")</f>
        <v>2023FrPhy..1833304G</v>
      </c>
      <c r="B426" s="2" t="str">
        <f>HYPERLINK("https://ui.adsabs.harvard.edu/abs/2022arXiv220305225G/abstract","2022arXiv220305225G")</f>
        <v>2022arXiv220305225G</v>
      </c>
      <c r="C426" s="1" t="s">
        <v>70</v>
      </c>
      <c r="E426" s="2" t="str">
        <f>HYPERLINK("https://ui.adsabs.harvard.edu/abs/2022arXiv220305225G/abstract","2022arXiv220305225G")</f>
        <v>2022arXiv220305225G</v>
      </c>
      <c r="F426" s="1" t="s">
        <v>669</v>
      </c>
      <c r="G426" s="1" t="s">
        <v>72</v>
      </c>
      <c r="H426" s="1">
        <v>0.9891776</v>
      </c>
      <c r="I426" s="1" t="s">
        <v>668</v>
      </c>
    </row>
    <row r="427">
      <c r="A427" s="2" t="str">
        <f>HYPERLINK("https://ui.adsabs.harvard.edu/abs/2023JHEP...01..045D/abstract","2023JHEP...01..045D")</f>
        <v>2023JHEP...01..045D</v>
      </c>
      <c r="B427" s="2" t="str">
        <f>HYPERLINK("https://ui.adsabs.harvard.edu/abs/2022arXiv221103820D/abstract","2022arXiv221103820D")</f>
        <v>2022arXiv221103820D</v>
      </c>
      <c r="C427" s="1" t="s">
        <v>70</v>
      </c>
      <c r="E427" s="2" t="str">
        <f>HYPERLINK("https://ui.adsabs.harvard.edu/abs/2022arXiv221103820D/abstract","2022arXiv221103820D")</f>
        <v>2022arXiv221103820D</v>
      </c>
      <c r="F427" s="1" t="s">
        <v>670</v>
      </c>
      <c r="G427" s="1" t="s">
        <v>72</v>
      </c>
      <c r="H427" s="1">
        <v>0.9891776</v>
      </c>
      <c r="I427" s="1" t="s">
        <v>668</v>
      </c>
    </row>
    <row r="428">
      <c r="A428" s="2" t="str">
        <f>HYPERLINK("https://ui.adsabs.harvard.edu/abs/2023JHEP...01..075B/abstract","2023JHEP...01..075B")</f>
        <v>2023JHEP...01..075B</v>
      </c>
      <c r="B428" s="2" t="str">
        <f>HYPERLINK("https://ui.adsabs.harvard.edu/abs/2022arXiv220306657B/abstract","2022arXiv220306657B")</f>
        <v>2022arXiv220306657B</v>
      </c>
      <c r="C428" s="1" t="s">
        <v>70</v>
      </c>
      <c r="E428" s="2" t="str">
        <f>HYPERLINK("https://ui.adsabs.harvard.edu/abs/2022arXiv220306657B/abstract","2022arXiv220306657B")</f>
        <v>2022arXiv220306657B</v>
      </c>
      <c r="F428" s="1" t="s">
        <v>671</v>
      </c>
      <c r="G428" s="1" t="s">
        <v>72</v>
      </c>
      <c r="H428" s="1">
        <v>0.9891776</v>
      </c>
      <c r="I428" s="1" t="s">
        <v>668</v>
      </c>
    </row>
    <row r="429">
      <c r="A429" s="2" t="str">
        <f>HYPERLINK("https://ui.adsabs.harvard.edu/abs/2023PhRvA.107a3713L/abstract","2023PhRvA.107a3713L")</f>
        <v>2023PhRvA.107a3713L</v>
      </c>
      <c r="B429" s="2" t="str">
        <f>HYPERLINK("https://ui.adsabs.harvard.edu/abs/2022arXiv221106000L/abstract","2022arXiv221106000L")</f>
        <v>2022arXiv221106000L</v>
      </c>
      <c r="C429" s="1" t="s">
        <v>70</v>
      </c>
      <c r="E429" s="2" t="str">
        <f>HYPERLINK("https://ui.adsabs.harvard.edu/abs/2022arXiv221106000L/abstract","2022arXiv221106000L")</f>
        <v>2022arXiv221106000L</v>
      </c>
      <c r="F429" s="1" t="s">
        <v>672</v>
      </c>
      <c r="G429" s="1" t="s">
        <v>72</v>
      </c>
      <c r="H429" s="1">
        <v>0.9891776</v>
      </c>
      <c r="I429" s="1" t="s">
        <v>668</v>
      </c>
    </row>
    <row r="430">
      <c r="A430" s="2" t="str">
        <f>HYPERLINK("https://ui.adsabs.harvard.edu/abs/2023PhRvD.107b3018L/abstract","2023PhRvD.107b3018L")</f>
        <v>2023PhRvD.107b3018L</v>
      </c>
      <c r="E430" s="2" t="str">
        <f>HYPERLINK("https://ui.adsabs.harvard.edu/abs/2022arXiv220709798J/abstract","2022arXiv220709798J")</f>
        <v>2022arXiv220709798J</v>
      </c>
      <c r="F430" s="1" t="s">
        <v>673</v>
      </c>
      <c r="G430" s="1" t="s">
        <v>72</v>
      </c>
      <c r="H430" s="1">
        <v>0.9891776</v>
      </c>
      <c r="I430" s="1" t="s">
        <v>668</v>
      </c>
    </row>
    <row r="431">
      <c r="A431" s="2" t="str">
        <f>HYPERLINK("https://ui.adsabs.harvard.edu/abs/2018Quant...2...84A/abstract","2018Quant...2...84A")</f>
        <v>2018Quant...2...84A</v>
      </c>
      <c r="B431" s="2" t="str">
        <f>HYPERLINK("https://ui.adsabs.harvard.edu/abs/2017arXiv171104662A/abstract","2017arXiv171104662A")</f>
        <v>2017arXiv171104662A</v>
      </c>
      <c r="C431" s="1" t="s">
        <v>70</v>
      </c>
      <c r="E431" s="2" t="str">
        <f>HYPERLINK("https://ui.adsabs.harvard.edu/abs/2017arXiv171104662A/abstract","2017arXiv171104662A")</f>
        <v>2017arXiv171104662A</v>
      </c>
      <c r="F431" s="1" t="s">
        <v>674</v>
      </c>
      <c r="G431" s="1" t="s">
        <v>72</v>
      </c>
      <c r="H431" s="1">
        <v>0.9891776</v>
      </c>
      <c r="I431" s="1" t="s">
        <v>668</v>
      </c>
    </row>
    <row r="432">
      <c r="A432" s="2" t="str">
        <f>HYPERLINK("https://ui.adsabs.harvard.edu/abs/2023Quant...7..893G/abstract","2023Quant...7..893G")</f>
        <v>2023Quant...7..893G</v>
      </c>
      <c r="E432" s="2" t="str">
        <f>HYPERLINK("https://ui.adsabs.harvard.edu/abs/2021arXiv210505566G/abstract","2021arXiv210505566G")</f>
        <v>2021arXiv210505566G</v>
      </c>
      <c r="G432" s="1" t="s">
        <v>72</v>
      </c>
      <c r="H432" s="1">
        <v>0.9891934</v>
      </c>
      <c r="I432" s="1" t="s">
        <v>675</v>
      </c>
    </row>
    <row r="433">
      <c r="A433" s="2" t="str">
        <f>HYPERLINK("https://ui.adsabs.harvard.edu/abs/2023PhRvB.107c5424A/abstract","2023PhRvB.107c5424A")</f>
        <v>2023PhRvB.107c5424A</v>
      </c>
      <c r="E433" s="2" t="str">
        <f>HYPERLINK("https://ui.adsabs.harvard.edu/abs/2022arXiv220814400A/abstract","2022arXiv220814400A")</f>
        <v>2022arXiv220814400A</v>
      </c>
      <c r="F433" s="1" t="s">
        <v>676</v>
      </c>
      <c r="G433" s="1" t="s">
        <v>72</v>
      </c>
      <c r="H433" s="1">
        <v>0.9892371</v>
      </c>
      <c r="I433" s="1" t="s">
        <v>677</v>
      </c>
    </row>
    <row r="434">
      <c r="A434" s="2" t="str">
        <f>HYPERLINK("https://ui.adsabs.harvard.edu/abs/2023PCCP...25.2274G/abstract","2023PCCP...25.2274G")</f>
        <v>2023PCCP...25.2274G</v>
      </c>
      <c r="B434" s="2" t="str">
        <f>HYPERLINK("https://ui.adsabs.harvard.edu/abs/2022arXiv220905027G/abstract","2022arXiv220905027G")</f>
        <v>2022arXiv220905027G</v>
      </c>
      <c r="C434" s="1" t="s">
        <v>70</v>
      </c>
      <c r="E434" s="2" t="str">
        <f>HYPERLINK("https://ui.adsabs.harvard.edu/abs/2022arXiv220905027G/abstract","2022arXiv220905027G")</f>
        <v>2022arXiv220905027G</v>
      </c>
      <c r="F434" s="1" t="s">
        <v>678</v>
      </c>
      <c r="G434" s="1" t="s">
        <v>72</v>
      </c>
      <c r="H434" s="1">
        <v>0.9892371</v>
      </c>
      <c r="I434" s="1" t="s">
        <v>677</v>
      </c>
    </row>
    <row r="435">
      <c r="A435" s="2" t="str">
        <f>HYPERLINK("https://ui.adsabs.harvard.edu/abs/2023Nonli..36.1378D/abstract","2023Nonli..36.1378D")</f>
        <v>2023Nonli..36.1378D</v>
      </c>
      <c r="B435" s="2" t="str">
        <f>HYPERLINK("https://ui.adsabs.harvard.edu/abs/2022arXiv220309108D/abstract","2022arXiv220309108D")</f>
        <v>2022arXiv220309108D</v>
      </c>
      <c r="C435" s="1" t="s">
        <v>70</v>
      </c>
      <c r="E435" s="2" t="str">
        <f>HYPERLINK("https://ui.adsabs.harvard.edu/abs/2022arXiv220309108D/abstract","2022arXiv220309108D")</f>
        <v>2022arXiv220309108D</v>
      </c>
      <c r="F435" s="1" t="s">
        <v>679</v>
      </c>
      <c r="G435" s="1" t="s">
        <v>72</v>
      </c>
      <c r="H435" s="1">
        <v>0.9892371</v>
      </c>
      <c r="I435" s="1" t="s">
        <v>677</v>
      </c>
    </row>
    <row r="436">
      <c r="A436" s="2" t="str">
        <f>HYPERLINK("https://ui.adsabs.harvard.edu/abs/2023PhRvC.107a4910P/abstract","2023PhRvC.107a4910P")</f>
        <v>2023PhRvC.107a4910P</v>
      </c>
      <c r="E436" s="2" t="str">
        <f>HYPERLINK("https://ui.adsabs.harvard.edu/abs/2022arXiv220503149P/abstract","2022arXiv220503149P")</f>
        <v>2022arXiv220503149P</v>
      </c>
      <c r="F436" s="1" t="s">
        <v>680</v>
      </c>
      <c r="G436" s="1" t="s">
        <v>72</v>
      </c>
      <c r="H436" s="1">
        <v>0.9895616</v>
      </c>
      <c r="I436" s="1" t="s">
        <v>681</v>
      </c>
    </row>
    <row r="437">
      <c r="A437" s="2" t="str">
        <f>HYPERLINK("https://ui.adsabs.harvard.edu/abs/2023PhRvD.107a4017C/abstract","2023PhRvD.107a4017C")</f>
        <v>2023PhRvD.107a4017C</v>
      </c>
      <c r="B437" s="2" t="str">
        <f>HYPERLINK("https://ui.adsabs.harvard.edu/abs/2022arXiv220511150C/abstract","2022arXiv220511150C")</f>
        <v>2022arXiv220511150C</v>
      </c>
      <c r="C437" s="1" t="s">
        <v>70</v>
      </c>
      <c r="E437" s="2" t="str">
        <f>HYPERLINK("https://ui.adsabs.harvard.edu/abs/2022arXiv220511150C/abstract","2022arXiv220511150C")</f>
        <v>2022arXiv220511150C</v>
      </c>
      <c r="F437" s="1" t="s">
        <v>682</v>
      </c>
      <c r="G437" s="1" t="s">
        <v>72</v>
      </c>
      <c r="H437" s="1">
        <v>0.9895616</v>
      </c>
      <c r="I437" s="1" t="s">
        <v>681</v>
      </c>
    </row>
    <row r="438">
      <c r="A438" s="2" t="str">
        <f>HYPERLINK("https://ui.adsabs.harvard.edu/abs/2023PhRvR...5a2008D/abstract","2023PhRvR...5a2008D")</f>
        <v>2023PhRvR...5a2008D</v>
      </c>
      <c r="B438" s="2" t="str">
        <f>HYPERLINK("https://ui.adsabs.harvard.edu/abs/2022arXiv220305038D/abstract","2022arXiv220305038D")</f>
        <v>2022arXiv220305038D</v>
      </c>
      <c r="C438" s="1" t="s">
        <v>70</v>
      </c>
      <c r="E438" s="2" t="str">
        <f>HYPERLINK("https://ui.adsabs.harvard.edu/abs/2022arXiv220305038D/abstract","2022arXiv220305038D")</f>
        <v>2022arXiv220305038D</v>
      </c>
      <c r="F438" s="1" t="s">
        <v>683</v>
      </c>
      <c r="G438" s="1" t="s">
        <v>72</v>
      </c>
      <c r="H438" s="1">
        <v>0.9896241</v>
      </c>
      <c r="I438" s="1" t="s">
        <v>684</v>
      </c>
    </row>
    <row r="439">
      <c r="A439" s="2" t="str">
        <f>HYPERLINK("https://ui.adsabs.harvard.edu/abs/2023ApJS..264...28S/abstract","2023ApJS..264...28S")</f>
        <v>2023ApJS..264...28S</v>
      </c>
      <c r="B439" s="2" t="str">
        <f>HYPERLINK("https://ui.adsabs.harvard.edu/abs/2022arXiv220611909S/abstract","2022arXiv220611909S")</f>
        <v>2022arXiv220611909S</v>
      </c>
      <c r="C439" s="1" t="s">
        <v>70</v>
      </c>
      <c r="E439" s="2" t="str">
        <f>HYPERLINK("https://ui.adsabs.harvard.edu/abs/2022arXiv220611909S/abstract","2022arXiv220611909S")</f>
        <v>2022arXiv220611909S</v>
      </c>
      <c r="F439" s="1" t="s">
        <v>685</v>
      </c>
      <c r="G439" s="1" t="s">
        <v>72</v>
      </c>
      <c r="H439" s="1">
        <v>0.9897346</v>
      </c>
      <c r="I439" s="1" t="s">
        <v>686</v>
      </c>
    </row>
    <row r="440">
      <c r="A440" s="2" t="str">
        <f>HYPERLINK("https://ui.adsabs.harvard.edu/abs/2023JCoPh.47611896L/abstract","2023JCoPh.47611896L")</f>
        <v>2023JCoPh.47611896L</v>
      </c>
      <c r="B440" s="2" t="str">
        <f>HYPERLINK("https://ui.adsabs.harvard.edu/abs/2022arXiv220514257L/abstract","2022arXiv220514257L")</f>
        <v>2022arXiv220514257L</v>
      </c>
      <c r="C440" s="1" t="s">
        <v>70</v>
      </c>
      <c r="E440" s="2" t="str">
        <f>HYPERLINK("https://ui.adsabs.harvard.edu/abs/2022arXiv220514257L/abstract","2022arXiv220514257L")</f>
        <v>2022arXiv220514257L</v>
      </c>
      <c r="F440" s="1" t="s">
        <v>687</v>
      </c>
      <c r="G440" s="1" t="s">
        <v>72</v>
      </c>
      <c r="H440" s="1">
        <v>0.9897346</v>
      </c>
      <c r="I440" s="1" t="s">
        <v>686</v>
      </c>
    </row>
    <row r="441">
      <c r="A441" s="2" t="str">
        <f>HYPERLINK("https://ui.adsabs.harvard.edu/abs/2023PhRvA.107a3309K/abstract","2023PhRvA.107a3309K")</f>
        <v>2023PhRvA.107a3309K</v>
      </c>
      <c r="B441" s="2" t="str">
        <f>HYPERLINK("https://ui.adsabs.harvard.edu/abs/2022arXiv220914628K/abstract","2022arXiv220914628K")</f>
        <v>2022arXiv220914628K</v>
      </c>
      <c r="C441" s="1" t="s">
        <v>70</v>
      </c>
      <c r="E441" s="2" t="str">
        <f>HYPERLINK("https://ui.adsabs.harvard.edu/abs/2022arXiv220914628K/abstract","2022arXiv220914628K")</f>
        <v>2022arXiv220914628K</v>
      </c>
      <c r="F441" s="1" t="s">
        <v>688</v>
      </c>
      <c r="G441" s="1" t="s">
        <v>72</v>
      </c>
      <c r="H441" s="1">
        <v>0.9897346</v>
      </c>
      <c r="I441" s="1" t="s">
        <v>686</v>
      </c>
    </row>
    <row r="442">
      <c r="A442" s="2" t="str">
        <f>HYPERLINK("https://ui.adsabs.harvard.edu/abs/2023PhRvB.107c5415K/abstract","2023PhRvB.107c5415K")</f>
        <v>2023PhRvB.107c5415K</v>
      </c>
      <c r="B442" s="2" t="str">
        <f>HYPERLINK("https://ui.adsabs.harvard.edu/abs/2022arXiv220509789K/abstract","2022arXiv220509789K")</f>
        <v>2022arXiv220509789K</v>
      </c>
      <c r="C442" s="1" t="s">
        <v>70</v>
      </c>
      <c r="E442" s="2" t="str">
        <f>HYPERLINK("https://ui.adsabs.harvard.edu/abs/2022arXiv220509789K/abstract","2022arXiv220509789K")</f>
        <v>2022arXiv220509789K</v>
      </c>
      <c r="F442" s="1" t="s">
        <v>689</v>
      </c>
      <c r="G442" s="1" t="s">
        <v>72</v>
      </c>
      <c r="H442" s="1">
        <v>0.9897346</v>
      </c>
      <c r="I442" s="1" t="s">
        <v>686</v>
      </c>
    </row>
    <row r="443">
      <c r="A443" s="2" t="str">
        <f>HYPERLINK("https://ui.adsabs.harvard.edu/abs/2023PhRvC.107a4908P/abstract","2023PhRvC.107a4908P")</f>
        <v>2023PhRvC.107a4908P</v>
      </c>
      <c r="B443" s="2" t="str">
        <f>HYPERLINK("https://ui.adsabs.harvard.edu/abs/2022arXiv220512834P/abstract","2022arXiv220512834P")</f>
        <v>2022arXiv220512834P</v>
      </c>
      <c r="C443" s="1" t="s">
        <v>70</v>
      </c>
      <c r="E443" s="2" t="str">
        <f>HYPERLINK("https://ui.adsabs.harvard.edu/abs/2022arXiv220512834P/abstract","2022arXiv220512834P")</f>
        <v>2022arXiv220512834P</v>
      </c>
      <c r="F443" s="1" t="s">
        <v>690</v>
      </c>
      <c r="G443" s="1" t="s">
        <v>72</v>
      </c>
      <c r="H443" s="1">
        <v>0.9897346</v>
      </c>
      <c r="I443" s="1" t="s">
        <v>686</v>
      </c>
    </row>
    <row r="444">
      <c r="A444" s="2" t="str">
        <f>HYPERLINK("https://ui.adsabs.harvard.edu/abs/2023PhRvE.107a5204C/abstract","2023PhRvE.107a5204C")</f>
        <v>2023PhRvE.107a5204C</v>
      </c>
      <c r="B444" s="2" t="str">
        <f>HYPERLINK("https://ui.adsabs.harvard.edu/abs/2022arXiv220912738C/abstract","2022arXiv220912738C")</f>
        <v>2022arXiv220912738C</v>
      </c>
      <c r="C444" s="1" t="s">
        <v>70</v>
      </c>
      <c r="E444" s="2" t="str">
        <f>HYPERLINK("https://ui.adsabs.harvard.edu/abs/2022arXiv220912738C/abstract","2022arXiv220912738C")</f>
        <v>2022arXiv220912738C</v>
      </c>
      <c r="F444" s="1" t="s">
        <v>691</v>
      </c>
      <c r="G444" s="1" t="s">
        <v>72</v>
      </c>
      <c r="H444" s="1">
        <v>0.9897346</v>
      </c>
      <c r="I444" s="1" t="s">
        <v>686</v>
      </c>
    </row>
    <row r="445">
      <c r="A445" s="2" t="str">
        <f>HYPERLINK("https://ui.adsabs.harvard.edu/abs/2023PhRvE.107a5206B/abstract","2023PhRvE.107a5206B")</f>
        <v>2023PhRvE.107a5206B</v>
      </c>
      <c r="B445" s="2" t="str">
        <f>HYPERLINK("https://ui.adsabs.harvard.edu/abs/2022arXiv220714716B/abstract","2022arXiv220714716B")</f>
        <v>2022arXiv220714716B</v>
      </c>
      <c r="C445" s="1" t="s">
        <v>70</v>
      </c>
      <c r="E445" s="2" t="str">
        <f>HYPERLINK("https://ui.adsabs.harvard.edu/abs/2022arXiv220714716B/abstract","2022arXiv220714716B")</f>
        <v>2022arXiv220714716B</v>
      </c>
      <c r="F445" s="1" t="s">
        <v>692</v>
      </c>
      <c r="G445" s="1" t="s">
        <v>72</v>
      </c>
      <c r="H445" s="1">
        <v>0.9897346</v>
      </c>
      <c r="I445" s="1" t="s">
        <v>686</v>
      </c>
    </row>
    <row r="446">
      <c r="A446" s="2" t="str">
        <f>HYPERLINK("https://ui.adsabs.harvard.edu/abs/2023EPJC...83...31P/abstract","2023EPJC...83...31P")</f>
        <v>2023EPJC...83...31P</v>
      </c>
      <c r="B446" s="2" t="str">
        <f>HYPERLINK("https://ui.adsabs.harvard.edu/abs/2022arXiv220506094P/abstract","2022arXiv220506094P")</f>
        <v>2022arXiv220506094P</v>
      </c>
      <c r="C446" s="1" t="s">
        <v>70</v>
      </c>
      <c r="E446" s="2" t="str">
        <f>HYPERLINK("https://ui.adsabs.harvard.edu/abs/2022arXiv220506094P/abstract","2022arXiv220506094P")</f>
        <v>2022arXiv220506094P</v>
      </c>
      <c r="F446" s="1" t="s">
        <v>693</v>
      </c>
      <c r="G446" s="1" t="s">
        <v>72</v>
      </c>
      <c r="H446" s="1">
        <v>0.9898764</v>
      </c>
      <c r="I446" s="1" t="s">
        <v>694</v>
      </c>
    </row>
    <row r="447">
      <c r="A447" s="2" t="str">
        <f>HYPERLINK("https://ui.adsabs.harvard.edu/abs/2023JHEP...01..028B/abstract","2023JHEP...01..028B")</f>
        <v>2023JHEP...01..028B</v>
      </c>
      <c r="B447" s="2" t="str">
        <f>HYPERLINK("https://ui.adsabs.harvard.edu/abs/2022arXiv221011484B/abstract","2022arXiv221011484B")</f>
        <v>2022arXiv221011484B</v>
      </c>
      <c r="C447" s="1" t="s">
        <v>70</v>
      </c>
      <c r="E447" s="2" t="str">
        <f>HYPERLINK("https://ui.adsabs.harvard.edu/abs/2022arXiv221011484B/abstract","2022arXiv221011484B")</f>
        <v>2022arXiv221011484B</v>
      </c>
      <c r="F447" s="1" t="s">
        <v>695</v>
      </c>
      <c r="G447" s="1" t="s">
        <v>72</v>
      </c>
      <c r="H447" s="1">
        <v>0.9898764</v>
      </c>
      <c r="I447" s="1" t="s">
        <v>694</v>
      </c>
    </row>
    <row r="448">
      <c r="A448" s="2" t="str">
        <f>HYPERLINK("https://ui.adsabs.harvard.edu/abs/2023JHEP...01..039R/abstract","2023JHEP...01..039R")</f>
        <v>2023JHEP...01..039R</v>
      </c>
      <c r="B448" s="2" t="str">
        <f>HYPERLINK("https://ui.adsabs.harvard.edu/abs/2022arXiv221110689R/abstract","2022arXiv221110689R")</f>
        <v>2022arXiv221110689R</v>
      </c>
      <c r="C448" s="1" t="s">
        <v>70</v>
      </c>
      <c r="E448" s="2" t="str">
        <f>HYPERLINK("https://ui.adsabs.harvard.edu/abs/2022arXiv221110689R/abstract","2022arXiv221110689R")</f>
        <v>2022arXiv221110689R</v>
      </c>
      <c r="F448" s="1" t="s">
        <v>696</v>
      </c>
      <c r="G448" s="1" t="s">
        <v>72</v>
      </c>
      <c r="H448" s="1">
        <v>0.9898764</v>
      </c>
      <c r="I448" s="1" t="s">
        <v>694</v>
      </c>
    </row>
    <row r="449">
      <c r="A449" s="2" t="str">
        <f>HYPERLINK("https://ui.adsabs.harvard.edu/abs/2023EPJP..138...38R/abstract","2023EPJP..138...38R")</f>
        <v>2023EPJP..138...38R</v>
      </c>
      <c r="B449" s="2" t="str">
        <f>HYPERLINK("https://ui.adsabs.harvard.edu/abs/2022arXiv220902058R/abstract","2022arXiv220902058R")</f>
        <v>2022arXiv220902058R</v>
      </c>
      <c r="C449" s="1" t="s">
        <v>70</v>
      </c>
      <c r="E449" s="2" t="str">
        <f>HYPERLINK("https://ui.adsabs.harvard.edu/abs/2022arXiv220902058R/abstract","2022arXiv220902058R")</f>
        <v>2022arXiv220902058R</v>
      </c>
      <c r="F449" s="1" t="s">
        <v>697</v>
      </c>
      <c r="G449" s="1" t="s">
        <v>72</v>
      </c>
      <c r="H449" s="1">
        <v>0.9898764</v>
      </c>
      <c r="I449" s="1" t="s">
        <v>694</v>
      </c>
    </row>
    <row r="450">
      <c r="A450" s="2" t="str">
        <f>HYPERLINK("https://ui.adsabs.harvard.edu/abs/2023JCoPh.47711920S/abstract","2023JCoPh.47711920S")</f>
        <v>2023JCoPh.47711920S</v>
      </c>
      <c r="B450" s="2" t="str">
        <f>HYPERLINK("https://ui.adsabs.harvard.edu/abs/2022arXiv220904487S/abstract","2022arXiv220904487S")</f>
        <v>2022arXiv220904487S</v>
      </c>
      <c r="C450" s="1" t="s">
        <v>70</v>
      </c>
      <c r="E450" s="2" t="str">
        <f>HYPERLINK("https://ui.adsabs.harvard.edu/abs/2022arXiv220904487S/abstract","2022arXiv220904487S")</f>
        <v>2022arXiv220904487S</v>
      </c>
      <c r="F450" s="1" t="s">
        <v>698</v>
      </c>
      <c r="G450" s="1" t="s">
        <v>72</v>
      </c>
      <c r="H450" s="1">
        <v>0.9898764</v>
      </c>
      <c r="I450" s="1" t="s">
        <v>694</v>
      </c>
    </row>
    <row r="451">
      <c r="A451" s="2" t="str">
        <f>HYPERLINK("https://ui.adsabs.harvard.edu/abs/2023PhyA..61228475V/abstract","2023PhyA..61228475V")</f>
        <v>2023PhyA..61228475V</v>
      </c>
      <c r="B451" s="2" t="str">
        <f>HYPERLINK("https://ui.adsabs.harvard.edu/abs/2022arXiv220710399V/abstract","2022arXiv220710399V")</f>
        <v>2022arXiv220710399V</v>
      </c>
      <c r="C451" s="1" t="s">
        <v>70</v>
      </c>
      <c r="E451" s="2" t="str">
        <f>HYPERLINK("https://ui.adsabs.harvard.edu/abs/2022arXiv220710399V/abstract","2022arXiv220710399V")</f>
        <v>2022arXiv220710399V</v>
      </c>
      <c r="F451" s="1" t="s">
        <v>699</v>
      </c>
      <c r="G451" s="1" t="s">
        <v>72</v>
      </c>
      <c r="H451" s="1">
        <v>0.9898764</v>
      </c>
      <c r="I451" s="1" t="s">
        <v>694</v>
      </c>
    </row>
    <row r="452">
      <c r="A452" s="2" t="str">
        <f>HYPERLINK("https://ui.adsabs.harvard.edu/abs/2023PhRvD.107b3015C/abstract","2023PhRvD.107b3015C")</f>
        <v>2023PhRvD.107b3015C</v>
      </c>
      <c r="B452" s="2" t="str">
        <f>HYPERLINK("https://ui.adsabs.harvard.edu/abs/2022arXiv220509091C/abstract","2022arXiv220509091C")</f>
        <v>2022arXiv220509091C</v>
      </c>
      <c r="C452" s="1" t="s">
        <v>70</v>
      </c>
      <c r="E452" s="2" t="str">
        <f>HYPERLINK("https://ui.adsabs.harvard.edu/abs/2022arXiv220509091C/abstract","2022arXiv220509091C")</f>
        <v>2022arXiv220509091C</v>
      </c>
      <c r="F452" s="1" t="s">
        <v>700</v>
      </c>
      <c r="G452" s="1" t="s">
        <v>72</v>
      </c>
      <c r="H452" s="1">
        <v>0.9898764</v>
      </c>
      <c r="I452" s="1" t="s">
        <v>694</v>
      </c>
    </row>
    <row r="453">
      <c r="A453" s="2" t="str">
        <f>HYPERLINK("https://ui.adsabs.harvard.edu/abs/2022MiMic..28.1526Y/abstract","2022MiMic..28.1526Y")</f>
        <v>2022MiMic..28.1526Y</v>
      </c>
      <c r="E453" s="2" t="str">
        <f>HYPERLINK("https://ui.adsabs.harvard.edu/abs/2021arXiv211204442Y/abstract","2021arXiv211204442Y")</f>
        <v>2021arXiv211204442Y</v>
      </c>
      <c r="F453" s="1" t="s">
        <v>701</v>
      </c>
      <c r="G453" s="1" t="s">
        <v>72</v>
      </c>
      <c r="H453" s="1">
        <v>0.9898764</v>
      </c>
      <c r="I453" s="1" t="s">
        <v>694</v>
      </c>
    </row>
    <row r="454">
      <c r="A454" s="2" t="str">
        <f>HYPERLINK("https://ui.adsabs.harvard.edu/abs/2023PhRvA.107a2812P/abstract","2023PhRvA.107a2812P")</f>
        <v>2023PhRvA.107a2812P</v>
      </c>
      <c r="E454" s="2" t="str">
        <f>HYPERLINK("https://ui.adsabs.harvard.edu/abs/2022arXiv221104744P/abstract","2022arXiv221104744P")</f>
        <v>2022arXiv221104744P</v>
      </c>
      <c r="F454" s="1" t="s">
        <v>702</v>
      </c>
      <c r="G454" s="1" t="s">
        <v>72</v>
      </c>
      <c r="H454" s="1">
        <v>0.9900443</v>
      </c>
      <c r="I454" s="1" t="s">
        <v>703</v>
      </c>
    </row>
    <row r="455">
      <c r="A455" s="2" t="str">
        <f>HYPERLINK("https://ui.adsabs.harvard.edu/abs/2023PhRvD.107a4022L/abstract","2023PhRvD.107a4022L")</f>
        <v>2023PhRvD.107a4022L</v>
      </c>
      <c r="B455" s="2" t="str">
        <f>HYPERLINK("https://ui.adsabs.harvard.edu/abs/2022arXiv221103727L/abstract","2022arXiv221103727L")</f>
        <v>2022arXiv221103727L</v>
      </c>
      <c r="C455" s="1" t="s">
        <v>70</v>
      </c>
      <c r="E455" s="2" t="str">
        <f>HYPERLINK("https://ui.adsabs.harvard.edu/abs/2022arXiv221103727L/abstract","2022arXiv221103727L")</f>
        <v>2022arXiv221103727L</v>
      </c>
      <c r="F455" s="1" t="s">
        <v>704</v>
      </c>
      <c r="G455" s="1" t="s">
        <v>72</v>
      </c>
      <c r="H455" s="1">
        <v>0.9900443</v>
      </c>
      <c r="I455" s="1" t="s">
        <v>703</v>
      </c>
    </row>
    <row r="456">
      <c r="A456" s="2" t="str">
        <f>HYPERLINK("https://ui.adsabs.harvard.edu/abs/2023PhRvE.107a5205C/abstract","2023PhRvE.107a5205C")</f>
        <v>2023PhRvE.107a5205C</v>
      </c>
      <c r="B456" s="2" t="str">
        <f>HYPERLINK("https://ui.adsabs.harvard.edu/abs/2022arXiv221004938C/abstract","2022arXiv221004938C")</f>
        <v>2022arXiv221004938C</v>
      </c>
      <c r="C456" s="1" t="s">
        <v>70</v>
      </c>
      <c r="E456" s="2" t="str">
        <f>HYPERLINK("https://ui.adsabs.harvard.edu/abs/2022arXiv221004938C/abstract","2022arXiv221004938C")</f>
        <v>2022arXiv221004938C</v>
      </c>
      <c r="F456" s="1" t="s">
        <v>705</v>
      </c>
      <c r="G456" s="1" t="s">
        <v>72</v>
      </c>
      <c r="H456" s="1">
        <v>0.9900443</v>
      </c>
      <c r="I456" s="1" t="s">
        <v>703</v>
      </c>
    </row>
    <row r="457">
      <c r="A457" s="2" t="str">
        <f>HYPERLINK("https://ui.adsabs.harvard.edu/abs/2023PhRvR...5a3025S/abstract","2023PhRvR...5a3025S")</f>
        <v>2023PhRvR...5a3025S</v>
      </c>
      <c r="B457" s="2" t="str">
        <f>HYPERLINK("https://ui.adsabs.harvard.edu/abs/2022arXiv220703581S/abstract","2022arXiv220703581S")</f>
        <v>2022arXiv220703581S</v>
      </c>
      <c r="C457" s="1" t="s">
        <v>70</v>
      </c>
      <c r="E457" s="2" t="str">
        <f>HYPERLINK("https://ui.adsabs.harvard.edu/abs/2022arXiv220703581S/abstract","2022arXiv220703581S")</f>
        <v>2022arXiv220703581S</v>
      </c>
      <c r="F457" s="1" t="s">
        <v>706</v>
      </c>
      <c r="G457" s="1" t="s">
        <v>72</v>
      </c>
      <c r="H457" s="1">
        <v>0.9900443</v>
      </c>
      <c r="I457" s="1" t="s">
        <v>703</v>
      </c>
    </row>
    <row r="458">
      <c r="A458" s="2" t="str">
        <f>HYPERLINK("https://ui.adsabs.harvard.edu/abs/2023JPhB...56b5601S/abstract","2023JPhB...56b5601S")</f>
        <v>2023JPhB...56b5601S</v>
      </c>
      <c r="B458" s="2" t="str">
        <f>HYPERLINK("https://ui.adsabs.harvard.edu/abs/2022arXiv220409161S/abstract","2022arXiv220409161S")</f>
        <v>2022arXiv220409161S</v>
      </c>
      <c r="C458" s="1" t="s">
        <v>70</v>
      </c>
      <c r="E458" s="2" t="str">
        <f>HYPERLINK("https://ui.adsabs.harvard.edu/abs/2022arXiv220409161S/abstract","2022arXiv220409161S")</f>
        <v>2022arXiv220409161S</v>
      </c>
      <c r="F458" s="1" t="s">
        <v>707</v>
      </c>
      <c r="G458" s="1" t="s">
        <v>72</v>
      </c>
      <c r="H458" s="1">
        <v>0.9900443</v>
      </c>
      <c r="I458" s="1" t="s">
        <v>703</v>
      </c>
    </row>
    <row r="459">
      <c r="A459" s="2" t="str">
        <f>HYPERLINK("https://ui.adsabs.harvard.edu/abs/2022Quant...6..803B/abstract","2022Quant...6..803B")</f>
        <v>2022Quant...6..803B</v>
      </c>
      <c r="E459" s="2" t="str">
        <f>HYPERLINK("https://ui.adsabs.harvard.edu/abs/2021arXiv210908629D/abstract","2021arXiv210908629D")</f>
        <v>2021arXiv210908629D</v>
      </c>
      <c r="G459" s="1" t="s">
        <v>72</v>
      </c>
      <c r="H459" s="1">
        <v>0.9902185</v>
      </c>
      <c r="I459" s="1" t="s">
        <v>708</v>
      </c>
    </row>
    <row r="460">
      <c r="A460" s="2" t="str">
        <f>HYPERLINK("https://ui.adsabs.harvard.edu/abs/2023NatSR..13..523F/abstract","2023NatSR..13..523F")</f>
        <v>2023NatSR..13..523F</v>
      </c>
      <c r="E460" s="2" t="str">
        <f>HYPERLINK("https://ui.adsabs.harvard.edu/abs/2021arXiv211206816F/abstract","2021arXiv211206816F")</f>
        <v>2021arXiv211206816F</v>
      </c>
      <c r="G460" s="1" t="s">
        <v>72</v>
      </c>
      <c r="H460" s="1">
        <v>0.9902573</v>
      </c>
      <c r="I460" s="1" t="s">
        <v>75</v>
      </c>
    </row>
    <row r="461">
      <c r="A461" s="2" t="str">
        <f>HYPERLINK("https://ui.adsabs.harvard.edu/abs/2020Quant...4..267B/abstract","2020Quant...4..267B")</f>
        <v>2020Quant...4..267B</v>
      </c>
      <c r="E461" s="2" t="str">
        <f>HYPERLINK("https://ui.adsabs.harvard.edu/abs/2019arXiv190606696J/abstract","2019arXiv190606696J")</f>
        <v>2019arXiv190606696J</v>
      </c>
      <c r="G461" s="1" t="s">
        <v>72</v>
      </c>
      <c r="H461" s="1">
        <v>0.9903384</v>
      </c>
      <c r="I461" s="1" t="s">
        <v>709</v>
      </c>
    </row>
    <row r="462">
      <c r="A462" s="2" t="str">
        <f>HYPERLINK("https://ui.adsabs.harvard.edu/abs/2023ApJS..264...30R/abstract","2023ApJS..264...30R")</f>
        <v>2023ApJS..264...30R</v>
      </c>
      <c r="B462" s="2" t="str">
        <f>HYPERLINK("https://ui.adsabs.harvard.edu/abs/2023arXiv230105954R/abstract","2023arXiv230105954R")</f>
        <v>2023arXiv230105954R</v>
      </c>
      <c r="C462" s="1" t="s">
        <v>70</v>
      </c>
      <c r="E462" s="2" t="str">
        <f>HYPERLINK("https://ui.adsabs.harvard.edu/abs/2023arXiv230105954R/abstract","2023arXiv230105954R")</f>
        <v>2023arXiv230105954R</v>
      </c>
      <c r="F462" s="1" t="s">
        <v>710</v>
      </c>
      <c r="G462" s="1" t="s">
        <v>72</v>
      </c>
      <c r="H462" s="1">
        <v>0.9903447</v>
      </c>
      <c r="I462" s="1" t="s">
        <v>711</v>
      </c>
    </row>
    <row r="463">
      <c r="A463" s="2" t="str">
        <f>HYPERLINK("https://ui.adsabs.harvard.edu/abs/2023PhRvA.107a3717K/abstract","2023PhRvA.107a3717K")</f>
        <v>2023PhRvA.107a3717K</v>
      </c>
      <c r="B463" s="2" t="str">
        <f>HYPERLINK("https://ui.adsabs.harvard.edu/abs/2022arXiv221009216K/abstract","2022arXiv221009216K")</f>
        <v>2022arXiv221009216K</v>
      </c>
      <c r="C463" s="1" t="s">
        <v>70</v>
      </c>
      <c r="E463" s="2" t="str">
        <f>HYPERLINK("https://ui.adsabs.harvard.edu/abs/2022arXiv221009216K/abstract","2022arXiv221009216K")</f>
        <v>2022arXiv221009216K</v>
      </c>
      <c r="F463" s="1" t="s">
        <v>712</v>
      </c>
      <c r="G463" s="1" t="s">
        <v>72</v>
      </c>
      <c r="H463" s="1">
        <v>0.9903447</v>
      </c>
      <c r="I463" s="1" t="s">
        <v>711</v>
      </c>
    </row>
    <row r="464">
      <c r="A464" s="2" t="str">
        <f>HYPERLINK("https://ui.adsabs.harvard.edu/abs/2023PhRvB.107a4411C/abstract","2023PhRvB.107a4411C")</f>
        <v>2023PhRvB.107a4411C</v>
      </c>
      <c r="B464" s="2" t="str">
        <f>HYPERLINK("https://ui.adsabs.harvard.edu/abs/2022arXiv220813807C/abstract","2022arXiv220813807C")</f>
        <v>2022arXiv220813807C</v>
      </c>
      <c r="C464" s="1" t="s">
        <v>70</v>
      </c>
      <c r="E464" s="2" t="str">
        <f>HYPERLINK("https://ui.adsabs.harvard.edu/abs/2022arXiv220813807C/abstract","2022arXiv220813807C")</f>
        <v>2022arXiv220813807C</v>
      </c>
      <c r="F464" s="1" t="s">
        <v>713</v>
      </c>
      <c r="G464" s="1" t="s">
        <v>72</v>
      </c>
      <c r="H464" s="1">
        <v>0.9903447</v>
      </c>
      <c r="I464" s="1" t="s">
        <v>711</v>
      </c>
    </row>
    <row r="465">
      <c r="A465" s="2" t="str">
        <f>HYPERLINK("https://ui.adsabs.harvard.edu/abs/2023PhRvB.107c5419G/abstract","2023PhRvB.107c5419G")</f>
        <v>2023PhRvB.107c5419G</v>
      </c>
      <c r="B465" s="2" t="str">
        <f>HYPERLINK("https://ui.adsabs.harvard.edu/abs/2022arXiv220805749G/abstract","2022arXiv220805749G")</f>
        <v>2022arXiv220805749G</v>
      </c>
      <c r="C465" s="1" t="s">
        <v>70</v>
      </c>
      <c r="E465" s="2" t="str">
        <f>HYPERLINK("https://ui.adsabs.harvard.edu/abs/2022arXiv220805749G/abstract","2022arXiv220805749G")</f>
        <v>2022arXiv220805749G</v>
      </c>
      <c r="F465" s="1" t="s">
        <v>714</v>
      </c>
      <c r="G465" s="1" t="s">
        <v>72</v>
      </c>
      <c r="H465" s="1">
        <v>0.9903447</v>
      </c>
      <c r="I465" s="1" t="s">
        <v>711</v>
      </c>
    </row>
    <row r="466">
      <c r="A466" s="2" t="str">
        <f>HYPERLINK("https://ui.adsabs.harvard.edu/abs/2023PhRvB.107d5419T/abstract","2023PhRvB.107d5419T")</f>
        <v>2023PhRvB.107d5419T</v>
      </c>
      <c r="B466" s="2" t="str">
        <f>HYPERLINK("https://ui.adsabs.harvard.edu/abs/2022arXiv220808555T/abstract","2022arXiv220808555T")</f>
        <v>2022arXiv220808555T</v>
      </c>
      <c r="C466" s="1" t="s">
        <v>70</v>
      </c>
      <c r="E466" s="2" t="str">
        <f>HYPERLINK("https://ui.adsabs.harvard.edu/abs/2022arXiv220808555T/abstract","2022arXiv220808555T")</f>
        <v>2022arXiv220808555T</v>
      </c>
      <c r="F466" s="1" t="s">
        <v>715</v>
      </c>
      <c r="G466" s="1" t="s">
        <v>72</v>
      </c>
      <c r="H466" s="1">
        <v>0.9903447</v>
      </c>
      <c r="I466" s="1" t="s">
        <v>711</v>
      </c>
    </row>
    <row r="467">
      <c r="A467" s="2" t="str">
        <f>HYPERLINK("https://ui.adsabs.harvard.edu/abs/2023PhRvD.107a4016M/abstract","2023PhRvD.107a4016M")</f>
        <v>2023PhRvD.107a4016M</v>
      </c>
      <c r="B467" s="2" t="str">
        <f>HYPERLINK("https://ui.adsabs.harvard.edu/abs/2022arXiv221210800M/abstract","2022arXiv221210800M")</f>
        <v>2022arXiv221210800M</v>
      </c>
      <c r="C467" s="1" t="s">
        <v>70</v>
      </c>
      <c r="E467" s="2" t="str">
        <f>HYPERLINK("https://ui.adsabs.harvard.edu/abs/2022arXiv221210800M/abstract","2022arXiv221210800M")</f>
        <v>2022arXiv221210800M</v>
      </c>
      <c r="F467" s="1" t="s">
        <v>716</v>
      </c>
      <c r="G467" s="1" t="s">
        <v>72</v>
      </c>
      <c r="H467" s="1">
        <v>0.9903447</v>
      </c>
      <c r="I467" s="1" t="s">
        <v>711</v>
      </c>
    </row>
    <row r="468">
      <c r="A468" s="2" t="str">
        <f>HYPERLINK("https://ui.adsabs.harvard.edu/abs/2023PhRvD.107a4019X/abstract","2023PhRvD.107a4019X")</f>
        <v>2023PhRvD.107a4019X</v>
      </c>
      <c r="B468" s="2" t="str">
        <f>HYPERLINK("https://ui.adsabs.harvard.edu/abs/2022arXiv221012452X/abstract","2022arXiv221012452X")</f>
        <v>2022arXiv221012452X</v>
      </c>
      <c r="C468" s="1" t="s">
        <v>70</v>
      </c>
      <c r="E468" s="2" t="str">
        <f>HYPERLINK("https://ui.adsabs.harvard.edu/abs/2022arXiv221012452X/abstract","2022arXiv221012452X")</f>
        <v>2022arXiv221012452X</v>
      </c>
      <c r="F468" s="1" t="s">
        <v>717</v>
      </c>
      <c r="G468" s="1" t="s">
        <v>72</v>
      </c>
      <c r="H468" s="1">
        <v>0.9903447</v>
      </c>
      <c r="I468" s="1" t="s">
        <v>711</v>
      </c>
    </row>
    <row r="469">
      <c r="A469" s="2" t="str">
        <f>HYPERLINK("https://ui.adsabs.harvard.edu/abs/2023PhRvE.107a2101R/abstract","2023PhRvE.107a2101R")</f>
        <v>2023PhRvE.107a2101R</v>
      </c>
      <c r="B469" s="2" t="str">
        <f>HYPERLINK("https://ui.adsabs.harvard.edu/abs/2022arXiv220301609R/abstract","2022arXiv220301609R")</f>
        <v>2022arXiv220301609R</v>
      </c>
      <c r="C469" s="1" t="s">
        <v>70</v>
      </c>
      <c r="E469" s="2" t="str">
        <f>HYPERLINK("https://ui.adsabs.harvard.edu/abs/2022arXiv220301609R/abstract","2022arXiv220301609R")</f>
        <v>2022arXiv220301609R</v>
      </c>
      <c r="F469" s="1" t="s">
        <v>718</v>
      </c>
      <c r="G469" s="1" t="s">
        <v>72</v>
      </c>
      <c r="H469" s="1">
        <v>0.9903447</v>
      </c>
      <c r="I469" s="1" t="s">
        <v>711</v>
      </c>
    </row>
    <row r="470">
      <c r="A470" s="2" t="str">
        <f>HYPERLINK("https://ui.adsabs.harvard.edu/abs/2023Optic..10..110Y/abstract","2023Optic..10..110Y")</f>
        <v>2023Optic..10..110Y</v>
      </c>
      <c r="B470" s="2" t="str">
        <f>HYPERLINK("https://ui.adsabs.harvard.edu/abs/2022arXiv220806454Y/abstract","2022arXiv220806454Y")</f>
        <v>2022arXiv220806454Y</v>
      </c>
      <c r="C470" s="1" t="s">
        <v>70</v>
      </c>
      <c r="E470" s="2" t="str">
        <f>HYPERLINK("https://ui.adsabs.harvard.edu/abs/2022arXiv220806454Y/abstract","2022arXiv220806454Y")</f>
        <v>2022arXiv220806454Y</v>
      </c>
      <c r="F470" s="1" t="s">
        <v>719</v>
      </c>
      <c r="G470" s="1" t="s">
        <v>72</v>
      </c>
      <c r="H470" s="1">
        <v>0.9903447</v>
      </c>
      <c r="I470" s="1" t="s">
        <v>711</v>
      </c>
    </row>
    <row r="471">
      <c r="A471" s="2" t="str">
        <f>HYPERLINK("https://ui.adsabs.harvard.edu/abs/2020Quant...4..356B/abstract","2020Quant...4..356B")</f>
        <v>2020Quant...4..356B</v>
      </c>
      <c r="E471" s="2" t="str">
        <f>HYPERLINK("https://ui.adsabs.harvard.edu/abs/2019arXiv191003315D/abstract","2019arXiv191003315D")</f>
        <v>2019arXiv191003315D</v>
      </c>
      <c r="G471" s="1" t="s">
        <v>72</v>
      </c>
      <c r="H471" s="1">
        <v>0.9904568</v>
      </c>
      <c r="I471" s="1" t="s">
        <v>720</v>
      </c>
    </row>
    <row r="472">
      <c r="A472" s="2" t="str">
        <f>HYPERLINK("https://ui.adsabs.harvard.edu/abs/2022AIHPC..39.1369M/abstract","2022AIHPC..39.1369M")</f>
        <v>2022AIHPC..39.1369M</v>
      </c>
      <c r="C472" s="1" t="s">
        <v>12</v>
      </c>
      <c r="E472" s="2" t="str">
        <f>HYPERLINK("https://ui.adsabs.harvard.edu/abs/2019arXiv190601962M/abstract","2019arXiv190601962M")</f>
        <v>2019arXiv190601962M</v>
      </c>
      <c r="G472" s="1" t="s">
        <v>72</v>
      </c>
      <c r="H472" s="1">
        <v>0.9904782</v>
      </c>
      <c r="I472" s="1" t="s">
        <v>721</v>
      </c>
    </row>
    <row r="473">
      <c r="A473" s="2" t="str">
        <f>HYPERLINK("https://ui.adsabs.harvard.edu/abs/2023PhRvD.107b3013L/abstract","2023PhRvD.107b3013L")</f>
        <v>2023PhRvD.107b3013L</v>
      </c>
      <c r="B473" s="2" t="str">
        <f>HYPERLINK("https://ui.adsabs.harvard.edu/abs/2022arXiv221010884L/abstract","2022arXiv221010884L")</f>
        <v>2022arXiv221010884L</v>
      </c>
      <c r="C473" s="1" t="s">
        <v>70</v>
      </c>
      <c r="E473" s="2" t="str">
        <f>HYPERLINK("https://ui.adsabs.harvard.edu/abs/2022arXiv221010884L/abstract","2022arXiv221010884L")</f>
        <v>2022arXiv221010884L</v>
      </c>
      <c r="F473" s="1" t="s">
        <v>722</v>
      </c>
      <c r="G473" s="1" t="s">
        <v>72</v>
      </c>
      <c r="H473" s="1">
        <v>0.9904901</v>
      </c>
      <c r="I473" s="1" t="s">
        <v>723</v>
      </c>
    </row>
    <row r="474">
      <c r="A474" s="2" t="str">
        <f>HYPERLINK("https://ui.adsabs.harvard.edu/abs/2023JFM...955A..35B/abstract","2023JFM...955A..35B")</f>
        <v>2023JFM...955A..35B</v>
      </c>
      <c r="B474" s="2" t="str">
        <f>HYPERLINK("https://ui.adsabs.harvard.edu/abs/2022arXiv220508361B/abstract","2022arXiv220508361B")</f>
        <v>2022arXiv220508361B</v>
      </c>
      <c r="C474" s="1" t="s">
        <v>70</v>
      </c>
      <c r="E474" s="2" t="str">
        <f>HYPERLINK("https://ui.adsabs.harvard.edu/abs/2022arXiv220508361B/abstract","2022arXiv220508361B")</f>
        <v>2022arXiv220508361B</v>
      </c>
      <c r="F474" s="1" t="s">
        <v>724</v>
      </c>
      <c r="G474" s="1" t="s">
        <v>72</v>
      </c>
      <c r="H474" s="1">
        <v>0.990494</v>
      </c>
      <c r="I474" s="1" t="s">
        <v>725</v>
      </c>
    </row>
    <row r="475">
      <c r="A475" s="2" t="str">
        <f>HYPERLINK("https://ui.adsabs.harvard.edu/abs/2018Quant...2...62L/abstract","2018Quant...2...62L")</f>
        <v>2018Quant...2...62L</v>
      </c>
      <c r="B475" s="2" t="str">
        <f>HYPERLINK("https://ui.adsabs.harvard.edu/abs/2017arXiv170902318L/abstract","2017arXiv170902318L")</f>
        <v>2017arXiv170902318L</v>
      </c>
      <c r="C475" s="1" t="s">
        <v>70</v>
      </c>
      <c r="E475" s="2" t="str">
        <f>HYPERLINK("https://ui.adsabs.harvard.edu/abs/2017arXiv170902318L/abstract","2017arXiv170902318L")</f>
        <v>2017arXiv170902318L</v>
      </c>
      <c r="G475" s="1" t="s">
        <v>72</v>
      </c>
      <c r="H475" s="1">
        <v>0.9905738</v>
      </c>
      <c r="I475" s="1" t="s">
        <v>726</v>
      </c>
    </row>
    <row r="476">
      <c r="A476" s="2" t="str">
        <f>HYPERLINK("https://ui.adsabs.harvard.edu/abs/2019Quant...3..202M/abstract","2019Quant...3..202M")</f>
        <v>2019Quant...3..202M</v>
      </c>
      <c r="E476" s="2" t="str">
        <f>HYPERLINK("https://ui.adsabs.harvard.edu/abs/2018arXiv181208159H/abstract","2018arXiv181208159H")</f>
        <v>2018arXiv181208159H</v>
      </c>
      <c r="G476" s="1" t="s">
        <v>72</v>
      </c>
      <c r="H476" s="1">
        <v>0.9905738</v>
      </c>
      <c r="I476" s="1" t="s">
        <v>726</v>
      </c>
    </row>
    <row r="477">
      <c r="A477" s="2" t="str">
        <f>HYPERLINK("https://ui.adsabs.harvard.edu/abs/2020Quant...4..253L/abstract","2020Quant...4..253L")</f>
        <v>2020Quant...4..253L</v>
      </c>
      <c r="E477" s="2" t="str">
        <f>HYPERLINK("https://ui.adsabs.harvard.edu/abs/2019arXiv190203164D/abstract","2019arXiv190203164D")</f>
        <v>2019arXiv190203164D</v>
      </c>
      <c r="G477" s="1" t="s">
        <v>72</v>
      </c>
      <c r="H477" s="1">
        <v>0.9905738</v>
      </c>
      <c r="I477" s="1" t="s">
        <v>726</v>
      </c>
    </row>
    <row r="478">
      <c r="A478" s="2" t="str">
        <f>HYPERLINK("https://ui.adsabs.harvard.edu/abs/2020Quant...4..350C/abstract","2020Quant...4..350C")</f>
        <v>2020Quant...4..350C</v>
      </c>
      <c r="E478" s="2" t="str">
        <f>HYPERLINK("https://ui.adsabs.harvard.edu/abs/2020arXiv200408749L/abstract","2020arXiv200408749L")</f>
        <v>2020arXiv200408749L</v>
      </c>
      <c r="G478" s="1" t="s">
        <v>72</v>
      </c>
      <c r="H478" s="1">
        <v>0.9905738</v>
      </c>
      <c r="I478" s="1" t="s">
        <v>726</v>
      </c>
    </row>
    <row r="479">
      <c r="A479" s="2" t="str">
        <f>HYPERLINK("https://ui.adsabs.harvard.edu/abs/2021Quant...5..542C/abstract","2021Quant...5..542C")</f>
        <v>2021Quant...5..542C</v>
      </c>
      <c r="B479" s="2" t="str">
        <f>HYPERLINK("https://ui.adsabs.harvard.edu/abs/2021arXiv210212043C/abstract","2021arXiv210212043C")</f>
        <v>2021arXiv210212043C</v>
      </c>
      <c r="C479" s="1" t="s">
        <v>70</v>
      </c>
      <c r="E479" s="2" t="str">
        <f>HYPERLINK("https://ui.adsabs.harvard.edu/abs/2021arXiv210212043C/abstract","2021arXiv210212043C")</f>
        <v>2021arXiv210212043C</v>
      </c>
      <c r="G479" s="1" t="s">
        <v>72</v>
      </c>
      <c r="H479" s="1">
        <v>0.9905738</v>
      </c>
      <c r="I479" s="1" t="s">
        <v>726</v>
      </c>
    </row>
    <row r="480">
      <c r="A480" s="2" t="str">
        <f>HYPERLINK("https://ui.adsabs.harvard.edu/abs/2022Quant...6..679Q/abstract","2022Quant...6..679Q")</f>
        <v>2022Quant...6..679Q</v>
      </c>
      <c r="E480" s="2" t="str">
        <f>HYPERLINK("https://ui.adsabs.harvard.edu/abs/2021arXiv210908202T/abstract","2021arXiv210908202T")</f>
        <v>2021arXiv210908202T</v>
      </c>
      <c r="G480" s="1" t="s">
        <v>72</v>
      </c>
      <c r="H480" s="1">
        <v>0.9905738</v>
      </c>
      <c r="I480" s="1" t="s">
        <v>726</v>
      </c>
    </row>
    <row r="481">
      <c r="A481" s="2" t="str">
        <f>HYPERLINK("https://ui.adsabs.harvard.edu/abs/2022Quant...6..735P/abstract","2022Quant...6..735P")</f>
        <v>2022Quant...6..735P</v>
      </c>
      <c r="B481" s="2" t="str">
        <f>HYPERLINK("https://ui.adsabs.harvard.edu/abs/2022arXiv220108694P/abstract","2022arXiv220108694P")</f>
        <v>2022arXiv220108694P</v>
      </c>
      <c r="C481" s="1" t="s">
        <v>70</v>
      </c>
      <c r="E481" s="2" t="str">
        <f>HYPERLINK("https://ui.adsabs.harvard.edu/abs/2022arXiv220108694P/abstract","2022arXiv220108694P")</f>
        <v>2022arXiv220108694P</v>
      </c>
      <c r="G481" s="1" t="s">
        <v>72</v>
      </c>
      <c r="H481" s="1">
        <v>0.9905738</v>
      </c>
      <c r="I481" s="1" t="s">
        <v>726</v>
      </c>
    </row>
    <row r="482">
      <c r="A482" s="2" t="str">
        <f>HYPERLINK("https://ui.adsabs.harvard.edu/abs/2022Quant...6..794M/abstract","2022Quant...6..794M")</f>
        <v>2022Quant...6..794M</v>
      </c>
      <c r="B482" s="2" t="str">
        <f>HYPERLINK("https://ui.adsabs.harvard.edu/abs/2021arXiv211210867M/abstract","2021arXiv211210867M")</f>
        <v>2021arXiv211210867M</v>
      </c>
      <c r="C482" s="1" t="s">
        <v>70</v>
      </c>
      <c r="E482" s="2" t="str">
        <f>HYPERLINK("https://ui.adsabs.harvard.edu/abs/2021arXiv211210867M/abstract","2021arXiv211210867M")</f>
        <v>2021arXiv211210867M</v>
      </c>
      <c r="G482" s="1" t="s">
        <v>72</v>
      </c>
      <c r="H482" s="1">
        <v>0.9905738</v>
      </c>
      <c r="I482" s="1" t="s">
        <v>726</v>
      </c>
    </row>
    <row r="483">
      <c r="A483" s="2" t="str">
        <f>HYPERLINK("https://ui.adsabs.harvard.edu/abs/2023CMAME.405k5892U/abstract","2023CMAME.405k5892U")</f>
        <v>2023CMAME.405k5892U</v>
      </c>
      <c r="B483" s="2" t="str">
        <f>HYPERLINK("https://ui.adsabs.harvard.edu/abs/2022arXiv221103627U/abstract","2022arXiv221103627U")</f>
        <v>2022arXiv221103627U</v>
      </c>
      <c r="C483" s="1" t="s">
        <v>70</v>
      </c>
      <c r="E483" s="2" t="str">
        <f>HYPERLINK("https://ui.adsabs.harvard.edu/abs/2022arXiv221103627U/abstract","2022arXiv221103627U")</f>
        <v>2022arXiv221103627U</v>
      </c>
      <c r="G483" s="1" t="s">
        <v>72</v>
      </c>
      <c r="H483" s="1">
        <v>0.9905817</v>
      </c>
      <c r="I483" s="1" t="s">
        <v>727</v>
      </c>
    </row>
    <row r="484">
      <c r="A484" s="2" t="str">
        <f>HYPERLINK("https://ui.adsabs.harvard.edu/abs/2022ITSP...70.6300L/abstract","2022ITSP...70.6300L")</f>
        <v>2022ITSP...70.6300L</v>
      </c>
      <c r="B484" s="2" t="str">
        <f>HYPERLINK("https://ui.adsabs.harvard.edu/abs/2021arXiv210905646L/abstract","2021arXiv210905646L")</f>
        <v>2021arXiv210905646L</v>
      </c>
      <c r="C484" s="1" t="s">
        <v>70</v>
      </c>
      <c r="E484" s="2" t="str">
        <f>HYPERLINK("https://ui.adsabs.harvard.edu/abs/2021arXiv210905646L/abstract","2021arXiv210905646L")</f>
        <v>2021arXiv210905646L</v>
      </c>
      <c r="G484" s="1" t="s">
        <v>72</v>
      </c>
      <c r="H484" s="1">
        <v>0.9905817</v>
      </c>
      <c r="I484" s="1" t="s">
        <v>727</v>
      </c>
    </row>
    <row r="485">
      <c r="A485" s="2" t="str">
        <f>HYPERLINK("https://ui.adsabs.harvard.edu/abs/2023Metro..60a5008L/abstract","2023Metro..60a5008L")</f>
        <v>2023Metro..60a5008L</v>
      </c>
      <c r="B485" s="2" t="str">
        <f>HYPERLINK("https://ui.adsabs.harvard.edu/abs/2022arXiv221104096L/abstract","2022arXiv221104096L")</f>
        <v>2022arXiv221104096L</v>
      </c>
      <c r="C485" s="1" t="s">
        <v>70</v>
      </c>
      <c r="E485" s="2" t="str">
        <f>HYPERLINK("https://ui.adsabs.harvard.edu/abs/2022arXiv221104096L/abstract","2022arXiv221104096L")</f>
        <v>2022arXiv221104096L</v>
      </c>
      <c r="F485" s="1" t="s">
        <v>728</v>
      </c>
      <c r="G485" s="1" t="s">
        <v>72</v>
      </c>
      <c r="H485" s="1">
        <v>0.9906361</v>
      </c>
      <c r="I485" s="1" t="s">
        <v>729</v>
      </c>
    </row>
    <row r="486">
      <c r="A486" s="2" t="str">
        <f>HYPERLINK("https://ui.adsabs.harvard.edu/abs/2023CQGra..40d5004G/abstract","2023CQGra..40d5004G")</f>
        <v>2023CQGra..40d5004G</v>
      </c>
      <c r="B486" s="2" t="str">
        <f>HYPERLINK("https://ui.adsabs.harvard.edu/abs/2022arXiv220814710G/abstract","2022arXiv220814710G")</f>
        <v>2022arXiv220814710G</v>
      </c>
      <c r="C486" s="1" t="s">
        <v>70</v>
      </c>
      <c r="E486" s="2" t="str">
        <f>HYPERLINK("https://ui.adsabs.harvard.edu/abs/2022arXiv220814710G/abstract","2022arXiv220814710G")</f>
        <v>2022arXiv220814710G</v>
      </c>
      <c r="F486" s="1" t="s">
        <v>730</v>
      </c>
      <c r="G486" s="1" t="s">
        <v>72</v>
      </c>
      <c r="H486" s="1">
        <v>0.9906361</v>
      </c>
      <c r="I486" s="1" t="s">
        <v>729</v>
      </c>
    </row>
    <row r="487">
      <c r="A487" s="2" t="str">
        <f>HYPERLINK("https://ui.adsabs.harvard.edu/abs/2023PhRvD.107b4025U/abstract","2023PhRvD.107b4025U")</f>
        <v>2023PhRvD.107b4025U</v>
      </c>
      <c r="B487" s="2" t="str">
        <f>HYPERLINK("https://ui.adsabs.harvard.edu/abs/2022arXiv221104662U/abstract","2022arXiv221104662U")</f>
        <v>2022arXiv221104662U</v>
      </c>
      <c r="C487" s="1" t="s">
        <v>70</v>
      </c>
      <c r="E487" s="2" t="str">
        <f>HYPERLINK("https://ui.adsabs.harvard.edu/abs/2022arXiv221104662U/abstract","2022arXiv221104662U")</f>
        <v>2022arXiv221104662U</v>
      </c>
      <c r="F487" s="1" t="s">
        <v>731</v>
      </c>
      <c r="G487" s="1" t="s">
        <v>72</v>
      </c>
      <c r="H487" s="1">
        <v>0.9906923</v>
      </c>
      <c r="I487" s="1" t="s">
        <v>732</v>
      </c>
    </row>
    <row r="488">
      <c r="A488" s="2" t="str">
        <f>HYPERLINK("https://ui.adsabs.harvard.edu/abs/2023LMaPh.113....8B/abstract","2023LMaPh.113....8B")</f>
        <v>2023LMaPh.113....8B</v>
      </c>
      <c r="B488" s="2" t="str">
        <f>HYPERLINK("https://ui.adsabs.harvard.edu/abs/2022arXiv220909213B/abstract","2022arXiv220909213B")</f>
        <v>2022arXiv220909213B</v>
      </c>
      <c r="C488" s="1" t="s">
        <v>70</v>
      </c>
      <c r="E488" s="2" t="str">
        <f>HYPERLINK("https://ui.adsabs.harvard.edu/abs/2022arXiv220909213B/abstract","2022arXiv220909213B")</f>
        <v>2022arXiv220909213B</v>
      </c>
      <c r="F488" s="1" t="s">
        <v>733</v>
      </c>
      <c r="G488" s="1" t="s">
        <v>72</v>
      </c>
      <c r="H488" s="1">
        <v>0.9907915</v>
      </c>
      <c r="I488" s="1" t="s">
        <v>734</v>
      </c>
    </row>
    <row r="489">
      <c r="A489" s="2" t="str">
        <f>HYPERLINK("https://ui.adsabs.harvard.edu/abs/2023ApPhL.122c1903S/abstract","2023ApPhL.122c1903S")</f>
        <v>2023ApPhL.122c1903S</v>
      </c>
      <c r="B489" s="2" t="str">
        <f>HYPERLINK("https://ui.adsabs.harvard.edu/abs/2022arXiv221116625S/abstract","2022arXiv221116625S")</f>
        <v>2022arXiv221116625S</v>
      </c>
      <c r="C489" s="1" t="s">
        <v>70</v>
      </c>
      <c r="E489" s="2" t="str">
        <f>HYPERLINK("https://ui.adsabs.harvard.edu/abs/2022arXiv221116625S/abstract","2022arXiv221116625S")</f>
        <v>2022arXiv221116625S</v>
      </c>
      <c r="F489" s="1" t="s">
        <v>735</v>
      </c>
      <c r="G489" s="1" t="s">
        <v>72</v>
      </c>
      <c r="H489" s="1">
        <v>0.9907915</v>
      </c>
      <c r="I489" s="1" t="s">
        <v>734</v>
      </c>
    </row>
    <row r="490">
      <c r="A490" s="2" t="str">
        <f>HYPERLINK("https://ui.adsabs.harvard.edu/abs/2023PhyD..44633630O/abstract","2023PhyD..44633630O")</f>
        <v>2023PhyD..44633630O</v>
      </c>
      <c r="B490" s="2" t="str">
        <f>HYPERLINK("https://ui.adsabs.harvard.edu/abs/2022arXiv220205750O/abstract","2022arXiv220205750O")</f>
        <v>2022arXiv220205750O</v>
      </c>
      <c r="C490" s="1" t="s">
        <v>70</v>
      </c>
      <c r="E490" s="2" t="str">
        <f>HYPERLINK("https://ui.adsabs.harvard.edu/abs/2022arXiv220205750O/abstract","2022arXiv220205750O")</f>
        <v>2022arXiv220205750O</v>
      </c>
      <c r="F490" s="1" t="s">
        <v>736</v>
      </c>
      <c r="G490" s="1" t="s">
        <v>72</v>
      </c>
      <c r="H490" s="1">
        <v>0.9907915</v>
      </c>
      <c r="I490" s="1" t="s">
        <v>734</v>
      </c>
    </row>
    <row r="491">
      <c r="A491" s="2" t="str">
        <f>HYPERLINK("https://ui.adsabs.harvard.edu/abs/2023CNSNS.11907091C/abstract","2023CNSNS.11907091C")</f>
        <v>2023CNSNS.11907091C</v>
      </c>
      <c r="B491" s="2" t="str">
        <f>HYPERLINK("https://ui.adsabs.harvard.edu/abs/2022arXiv220509340C/abstract","2022arXiv220509340C")</f>
        <v>2022arXiv220509340C</v>
      </c>
      <c r="C491" s="1" t="s">
        <v>70</v>
      </c>
      <c r="E491" s="2" t="str">
        <f>HYPERLINK("https://ui.adsabs.harvard.edu/abs/2022arXiv220509340C/abstract","2022arXiv220509340C")</f>
        <v>2022arXiv220509340C</v>
      </c>
      <c r="F491" s="1" t="s">
        <v>737</v>
      </c>
      <c r="G491" s="1" t="s">
        <v>72</v>
      </c>
      <c r="H491" s="1">
        <v>0.9907915</v>
      </c>
      <c r="I491" s="1" t="s">
        <v>734</v>
      </c>
    </row>
    <row r="492">
      <c r="A492" s="2" t="str">
        <f>HYPERLINK("https://ui.adsabs.harvard.edu/abs/2023PhRvA.107a2420G/abstract","2023PhRvA.107a2420G")</f>
        <v>2023PhRvA.107a2420G</v>
      </c>
      <c r="B492" s="2" t="str">
        <f>HYPERLINK("https://ui.adsabs.harvard.edu/abs/2022arXiv220901612G/abstract","2022arXiv220901612G")</f>
        <v>2022arXiv220901612G</v>
      </c>
      <c r="C492" s="1" t="s">
        <v>70</v>
      </c>
      <c r="E492" s="2" t="str">
        <f>HYPERLINK("https://ui.adsabs.harvard.edu/abs/2022arXiv220901612G/abstract","2022arXiv220901612G")</f>
        <v>2022arXiv220901612G</v>
      </c>
      <c r="F492" s="1" t="s">
        <v>738</v>
      </c>
      <c r="G492" s="1" t="s">
        <v>72</v>
      </c>
      <c r="H492" s="1">
        <v>0.9907915</v>
      </c>
      <c r="I492" s="1" t="s">
        <v>734</v>
      </c>
    </row>
    <row r="493">
      <c r="A493" s="2" t="str">
        <f>HYPERLINK("https://ui.adsabs.harvard.edu/abs/2023PhRvP..19a4051D/abstract","2023PhRvP..19a4051D")</f>
        <v>2023PhRvP..19a4051D</v>
      </c>
      <c r="B493" s="2" t="str">
        <f>HYPERLINK("https://ui.adsabs.harvard.edu/abs/2022arXiv220809863D/abstract","2022arXiv220809863D")</f>
        <v>2022arXiv220809863D</v>
      </c>
      <c r="C493" s="1" t="s">
        <v>70</v>
      </c>
      <c r="E493" s="2" t="str">
        <f>HYPERLINK("https://ui.adsabs.harvard.edu/abs/2022arXiv220809863D/abstract","2022arXiv220809863D")</f>
        <v>2022arXiv220809863D</v>
      </c>
      <c r="F493" s="1" t="s">
        <v>739</v>
      </c>
      <c r="G493" s="1" t="s">
        <v>72</v>
      </c>
      <c r="H493" s="1">
        <v>0.9907915</v>
      </c>
      <c r="I493" s="1" t="s">
        <v>734</v>
      </c>
    </row>
    <row r="494">
      <c r="A494" s="2" t="str">
        <f>HYPERLINK("https://ui.adsabs.harvard.edu/abs/2023PhRvB.107a4106L/abstract","2023PhRvB.107a4106L")</f>
        <v>2023PhRvB.107a4106L</v>
      </c>
      <c r="B494" s="2" t="str">
        <f>HYPERLINK("https://ui.adsabs.harvard.edu/abs/2023arXiv230104825L/abstract","2023arXiv230104825L")</f>
        <v>2023arXiv230104825L</v>
      </c>
      <c r="C494" s="1" t="s">
        <v>70</v>
      </c>
      <c r="E494" s="2" t="str">
        <f>HYPERLINK("https://ui.adsabs.harvard.edu/abs/2023arXiv230104825L/abstract","2023arXiv230104825L")</f>
        <v>2023arXiv230104825L</v>
      </c>
      <c r="F494" s="1" t="s">
        <v>740</v>
      </c>
      <c r="G494" s="1" t="s">
        <v>72</v>
      </c>
      <c r="H494" s="1">
        <v>0.9907915</v>
      </c>
      <c r="I494" s="1" t="s">
        <v>734</v>
      </c>
    </row>
    <row r="495">
      <c r="A495" s="2" t="str">
        <f>HYPERLINK("https://ui.adsabs.harvard.edu/abs/2023PhRvB.107a4510H/abstract","2023PhRvB.107a4510H")</f>
        <v>2023PhRvB.107a4510H</v>
      </c>
      <c r="B495" s="2" t="str">
        <f>HYPERLINK("https://ui.adsabs.harvard.edu/abs/2022arXiv221111632H/abstract","2022arXiv221111632H")</f>
        <v>2022arXiv221111632H</v>
      </c>
      <c r="C495" s="1" t="s">
        <v>70</v>
      </c>
      <c r="E495" s="2" t="str">
        <f>HYPERLINK("https://ui.adsabs.harvard.edu/abs/2022arXiv221111632H/abstract","2022arXiv221111632H")</f>
        <v>2022arXiv221111632H</v>
      </c>
      <c r="F495" s="1" t="s">
        <v>741</v>
      </c>
      <c r="G495" s="1" t="s">
        <v>72</v>
      </c>
      <c r="H495" s="1">
        <v>0.9907915</v>
      </c>
      <c r="I495" s="1" t="s">
        <v>734</v>
      </c>
    </row>
    <row r="496">
      <c r="A496" s="2" t="str">
        <f>HYPERLINK("https://ui.adsabs.harvard.edu/abs/2023PhRvB.107b4418Y/abstract","2023PhRvB.107b4418Y")</f>
        <v>2023PhRvB.107b4418Y</v>
      </c>
      <c r="E496" s="2" t="str">
        <f>HYPERLINK("https://ui.adsabs.harvard.edu/abs/2022arXiv220914179Y/abstract","2022arXiv220914179Y")</f>
        <v>2022arXiv220914179Y</v>
      </c>
      <c r="F496" s="1" t="s">
        <v>742</v>
      </c>
      <c r="G496" s="1" t="s">
        <v>72</v>
      </c>
      <c r="H496" s="1">
        <v>0.9907915</v>
      </c>
      <c r="I496" s="1" t="s">
        <v>734</v>
      </c>
    </row>
    <row r="497">
      <c r="A497" s="2" t="str">
        <f>HYPERLINK("https://ui.adsabs.harvard.edu/abs/2023PhRvB.107d1406K/abstract","2023PhRvB.107d1406K")</f>
        <v>2023PhRvB.107d1406K</v>
      </c>
      <c r="B497" s="2" t="str">
        <f>HYPERLINK("https://ui.adsabs.harvard.edu/abs/2022arXiv220906533K/abstract","2022arXiv220906533K")</f>
        <v>2022arXiv220906533K</v>
      </c>
      <c r="C497" s="1" t="s">
        <v>70</v>
      </c>
      <c r="E497" s="2" t="str">
        <f>HYPERLINK("https://ui.adsabs.harvard.edu/abs/2022arXiv220906533K/abstract","2022arXiv220906533K")</f>
        <v>2022arXiv220906533K</v>
      </c>
      <c r="F497" s="1" t="s">
        <v>743</v>
      </c>
      <c r="G497" s="1" t="s">
        <v>72</v>
      </c>
      <c r="H497" s="1">
        <v>0.9907915</v>
      </c>
      <c r="I497" s="1" t="s">
        <v>734</v>
      </c>
    </row>
    <row r="498">
      <c r="A498" s="2" t="str">
        <f>HYPERLINK("https://ui.adsabs.harvard.edu/abs/2023PhRvE.107a4213A/abstract","2023PhRvE.107a4213A")</f>
        <v>2023PhRvE.107a4213A</v>
      </c>
      <c r="B498" s="2" t="str">
        <f>HYPERLINK("https://ui.adsabs.harvard.edu/abs/2022arXiv220911521A/abstract","2022arXiv220911521A")</f>
        <v>2022arXiv220911521A</v>
      </c>
      <c r="C498" s="1" t="s">
        <v>70</v>
      </c>
      <c r="E498" s="2" t="str">
        <f>HYPERLINK("https://ui.adsabs.harvard.edu/abs/2022arXiv220911521A/abstract","2022arXiv220911521A")</f>
        <v>2022arXiv220911521A</v>
      </c>
      <c r="F498" s="1" t="s">
        <v>744</v>
      </c>
      <c r="G498" s="1" t="s">
        <v>72</v>
      </c>
      <c r="H498" s="1">
        <v>0.9907915</v>
      </c>
      <c r="I498" s="1" t="s">
        <v>734</v>
      </c>
    </row>
    <row r="499">
      <c r="A499" s="2" t="str">
        <f>HYPERLINK("https://ui.adsabs.harvard.edu/abs/2023PhRvL.130c0603L/abstract","2023PhRvL.130c0603L")</f>
        <v>2023PhRvL.130c0603L</v>
      </c>
      <c r="B499" s="2" t="str">
        <f>HYPERLINK("https://ui.adsabs.harvard.edu/abs/2022arXiv220611199L/abstract","2022arXiv220611199L")</f>
        <v>2022arXiv220611199L</v>
      </c>
      <c r="C499" s="1" t="s">
        <v>70</v>
      </c>
      <c r="E499" s="2" t="str">
        <f>HYPERLINK("https://ui.adsabs.harvard.edu/abs/2022arXiv220611199L/abstract","2022arXiv220611199L")</f>
        <v>2022arXiv220611199L</v>
      </c>
      <c r="F499" s="1" t="s">
        <v>745</v>
      </c>
      <c r="G499" s="1" t="s">
        <v>72</v>
      </c>
      <c r="H499" s="1">
        <v>0.9907915</v>
      </c>
      <c r="I499" s="1" t="s">
        <v>734</v>
      </c>
    </row>
    <row r="500">
      <c r="A500" s="2" t="str">
        <f>HYPERLINK("https://ui.adsabs.harvard.edu/abs/2023OExpr..31.3774H/abstract","2023OExpr..31.3774H")</f>
        <v>2023OExpr..31.3774H</v>
      </c>
      <c r="E500" s="2" t="str">
        <f>HYPERLINK("https://ui.adsabs.harvard.edu/abs/2022arXiv221006046H/abstract","2022arXiv221006046H")</f>
        <v>2022arXiv221006046H</v>
      </c>
      <c r="F500" s="1" t="s">
        <v>746</v>
      </c>
      <c r="G500" s="1" t="s">
        <v>72</v>
      </c>
      <c r="H500" s="1">
        <v>0.9907915</v>
      </c>
      <c r="I500" s="1" t="s">
        <v>734</v>
      </c>
    </row>
    <row r="501">
      <c r="A501" s="2" t="str">
        <f>HYPERLINK("https://ui.adsabs.harvard.edu/abs/2023ScPP...14....5T/abstract","2023ScPP...14....5T")</f>
        <v>2023ScPP...14....5T</v>
      </c>
      <c r="B501" s="2" t="str">
        <f>HYPERLINK("https://ui.adsabs.harvard.edu/abs/2022arXiv220209281T/abstract","2022arXiv220209281T")</f>
        <v>2022arXiv220209281T</v>
      </c>
      <c r="C501" s="1" t="s">
        <v>70</v>
      </c>
      <c r="E501" s="2" t="str">
        <f>HYPERLINK("https://ui.adsabs.harvard.edu/abs/2022arXiv220209281T/abstract","2022arXiv220209281T")</f>
        <v>2022arXiv220209281T</v>
      </c>
      <c r="F501" s="1" t="s">
        <v>747</v>
      </c>
      <c r="G501" s="1" t="s">
        <v>72</v>
      </c>
      <c r="H501" s="1">
        <v>0.9907915</v>
      </c>
      <c r="I501" s="1" t="s">
        <v>734</v>
      </c>
    </row>
    <row r="502">
      <c r="A502" s="2" t="str">
        <f>HYPERLINK("https://ui.adsabs.harvard.edu/abs/2019Quant...3..137B/abstract","2019Quant...3..137B")</f>
        <v>2019Quant...3..137B</v>
      </c>
      <c r="B502" s="2" t="str">
        <f>HYPERLINK("https://ui.adsabs.harvard.edu/abs/2019arXiv190110945B/abstract","2019arXiv190110945B")</f>
        <v>2019arXiv190110945B</v>
      </c>
      <c r="C502" s="1" t="s">
        <v>70</v>
      </c>
      <c r="E502" s="2" t="str">
        <f>HYPERLINK("https://ui.adsabs.harvard.edu/abs/2019arXiv190110945B/abstract","2019arXiv190110945B")</f>
        <v>2019arXiv190110945B</v>
      </c>
      <c r="G502" s="1" t="s">
        <v>72</v>
      </c>
      <c r="H502" s="1">
        <v>0.9908813</v>
      </c>
      <c r="I502" s="1" t="s">
        <v>748</v>
      </c>
    </row>
    <row r="503">
      <c r="A503" s="2" t="str">
        <f>HYPERLINK("https://ui.adsabs.harvard.edu/abs/2023AnP...53500439K/abstract","2023AnP...53500439K")</f>
        <v>2023AnP...53500439K</v>
      </c>
      <c r="B503" s="2" t="str">
        <f>HYPERLINK("https://ui.adsabs.harvard.edu/abs/2022arXiv220906080K/abstract","2022arXiv220906080K")</f>
        <v>2022arXiv220906080K</v>
      </c>
      <c r="C503" s="1" t="s">
        <v>70</v>
      </c>
      <c r="E503" s="2" t="str">
        <f>HYPERLINK("https://ui.adsabs.harvard.edu/abs/2022arXiv220906080K/abstract","2022arXiv220906080K")</f>
        <v>2022arXiv220906080K</v>
      </c>
      <c r="F503" s="1" t="s">
        <v>749</v>
      </c>
      <c r="G503" s="1" t="s">
        <v>72</v>
      </c>
      <c r="H503" s="1">
        <v>0.9910617</v>
      </c>
      <c r="I503" s="1" t="s">
        <v>750</v>
      </c>
    </row>
    <row r="504">
      <c r="A504" s="2" t="str">
        <f>HYPERLINK("https://ui.adsabs.harvard.edu/abs/2023PhRvA.107a3111G/abstract","2023PhRvA.107a3111G")</f>
        <v>2023PhRvA.107a3111G</v>
      </c>
      <c r="B504" s="2" t="str">
        <f>HYPERLINK("https://ui.adsabs.harvard.edu/abs/2022arXiv220711279G/abstract","2022arXiv220711279G")</f>
        <v>2022arXiv220711279G</v>
      </c>
      <c r="C504" s="1" t="s">
        <v>70</v>
      </c>
      <c r="E504" s="2" t="str">
        <f>HYPERLINK("https://ui.adsabs.harvard.edu/abs/2022arXiv220711279G/abstract","2022arXiv220711279G")</f>
        <v>2022arXiv220711279G</v>
      </c>
      <c r="F504" s="1" t="s">
        <v>751</v>
      </c>
      <c r="G504" s="1" t="s">
        <v>72</v>
      </c>
      <c r="H504" s="1">
        <v>0.9910696</v>
      </c>
      <c r="I504" s="1" t="s">
        <v>752</v>
      </c>
    </row>
    <row r="505">
      <c r="A505" s="2" t="str">
        <f>HYPERLINK("https://ui.adsabs.harvard.edu/abs/2023PhRvB.107c5134M/abstract","2023PhRvB.107c5134M")</f>
        <v>2023PhRvB.107c5134M</v>
      </c>
      <c r="B505" s="2" t="str">
        <f>HYPERLINK("https://ui.adsabs.harvard.edu/abs/2022arXiv220901048M/abstract","2022arXiv220901048M")</f>
        <v>2022arXiv220901048M</v>
      </c>
      <c r="C505" s="1" t="s">
        <v>70</v>
      </c>
      <c r="E505" s="2" t="str">
        <f>HYPERLINK("https://ui.adsabs.harvard.edu/abs/2022arXiv220901048M/abstract","2022arXiv220901048M")</f>
        <v>2022arXiv220901048M</v>
      </c>
      <c r="F505" s="1" t="s">
        <v>753</v>
      </c>
      <c r="G505" s="1" t="s">
        <v>72</v>
      </c>
      <c r="H505" s="1">
        <v>0.9910696</v>
      </c>
      <c r="I505" s="1" t="s">
        <v>752</v>
      </c>
    </row>
    <row r="506">
      <c r="A506" s="2" t="str">
        <f>HYPERLINK("https://ui.adsabs.harvard.edu/abs/2023PhRvD.107b3012T/abstract","2023PhRvD.107b3012T")</f>
        <v>2023PhRvD.107b3012T</v>
      </c>
      <c r="B506" s="2" t="str">
        <f>HYPERLINK("https://ui.adsabs.harvard.edu/abs/2022arXiv221015644T/abstract","2022arXiv221015644T")</f>
        <v>2022arXiv221015644T</v>
      </c>
      <c r="C506" s="1" t="s">
        <v>70</v>
      </c>
      <c r="E506" s="2" t="str">
        <f>HYPERLINK("https://ui.adsabs.harvard.edu/abs/2022arXiv221015644T/abstract","2022arXiv221015644T")</f>
        <v>2022arXiv221015644T</v>
      </c>
      <c r="F506" s="1" t="s">
        <v>754</v>
      </c>
      <c r="G506" s="1" t="s">
        <v>72</v>
      </c>
      <c r="H506" s="1">
        <v>0.9910696</v>
      </c>
      <c r="I506" s="1" t="s">
        <v>752</v>
      </c>
    </row>
    <row r="507">
      <c r="A507" s="2" t="str">
        <f>HYPERLINK("https://ui.adsabs.harvard.edu/abs/2023PhRvD.107b3017I/abstract","2023PhRvD.107b3017I")</f>
        <v>2023PhRvD.107b3017I</v>
      </c>
      <c r="B507" s="2" t="str">
        <f>HYPERLINK("https://ui.adsabs.harvard.edu/abs/2022arXiv220912465I/abstract","2022arXiv220912465I")</f>
        <v>2022arXiv220912465I</v>
      </c>
      <c r="C507" s="1" t="s">
        <v>70</v>
      </c>
      <c r="E507" s="2" t="str">
        <f>HYPERLINK("https://ui.adsabs.harvard.edu/abs/2022arXiv220912465I/abstract","2022arXiv220912465I")</f>
        <v>2022arXiv220912465I</v>
      </c>
      <c r="F507" s="1" t="s">
        <v>755</v>
      </c>
      <c r="G507" s="1" t="s">
        <v>72</v>
      </c>
      <c r="H507" s="1">
        <v>0.9910696</v>
      </c>
      <c r="I507" s="1" t="s">
        <v>752</v>
      </c>
    </row>
    <row r="508">
      <c r="A508" s="2" t="str">
        <f>HYPERLINK("https://ui.adsabs.harvard.edu/abs/2023PhRvD.107b4021P/abstract","2023PhRvD.107b4021P")</f>
        <v>2023PhRvD.107b4021P</v>
      </c>
      <c r="B508" s="2" t="str">
        <f>HYPERLINK("https://ui.adsabs.harvard.edu/abs/2022arXiv220707452P/abstract","2022arXiv220707452P")</f>
        <v>2022arXiv220707452P</v>
      </c>
      <c r="C508" s="1" t="s">
        <v>70</v>
      </c>
      <c r="E508" s="2" t="str">
        <f>HYPERLINK("https://ui.adsabs.harvard.edu/abs/2022arXiv220707452P/abstract","2022arXiv220707452P")</f>
        <v>2022arXiv220707452P</v>
      </c>
      <c r="F508" s="1" t="s">
        <v>756</v>
      </c>
      <c r="G508" s="1" t="s">
        <v>72</v>
      </c>
      <c r="H508" s="1">
        <v>0.9910696</v>
      </c>
      <c r="I508" s="1" t="s">
        <v>752</v>
      </c>
    </row>
    <row r="509">
      <c r="A509" s="2" t="str">
        <f>HYPERLINK("https://ui.adsabs.harvard.edu/abs/2023PhRvE.107a4122I/abstract","2023PhRvE.107a4122I")</f>
        <v>2023PhRvE.107a4122I</v>
      </c>
      <c r="B509" s="2" t="str">
        <f>HYPERLINK("https://ui.adsabs.harvard.edu/abs/2022arXiv221015742I/abstract","2022arXiv221015742I")</f>
        <v>2022arXiv221015742I</v>
      </c>
      <c r="C509" s="1" t="s">
        <v>70</v>
      </c>
      <c r="E509" s="2" t="str">
        <f>HYPERLINK("https://ui.adsabs.harvard.edu/abs/2022arXiv221015742I/abstract","2022arXiv221015742I")</f>
        <v>2022arXiv221015742I</v>
      </c>
      <c r="F509" s="1" t="s">
        <v>757</v>
      </c>
      <c r="G509" s="1" t="s">
        <v>72</v>
      </c>
      <c r="H509" s="1">
        <v>0.9910696</v>
      </c>
      <c r="I509" s="1" t="s">
        <v>752</v>
      </c>
    </row>
    <row r="510">
      <c r="A510" s="2" t="str">
        <f>HYPERLINK("https://ui.adsabs.harvard.edu/abs/2023Entrp..25..193D/abstract","2023Entrp..25..193D")</f>
        <v>2023Entrp..25..193D</v>
      </c>
      <c r="B510" s="2" t="str">
        <f>HYPERLINK("https://ui.adsabs.harvard.edu/abs/2022arXiv220807798D/abstract","2022arXiv220807798D")</f>
        <v>2022arXiv220807798D</v>
      </c>
      <c r="C510" s="1" t="s">
        <v>70</v>
      </c>
      <c r="E510" s="2" t="str">
        <f>HYPERLINK("https://ui.adsabs.harvard.edu/abs/2022arXiv220807798D/abstract","2022arXiv220807798D")</f>
        <v>2022arXiv220807798D</v>
      </c>
      <c r="F510" s="1" t="s">
        <v>758</v>
      </c>
      <c r="G510" s="1" t="s">
        <v>72</v>
      </c>
      <c r="H510" s="1">
        <v>0.9910696</v>
      </c>
      <c r="I510" s="1" t="s">
        <v>752</v>
      </c>
    </row>
    <row r="511">
      <c r="A511" s="2" t="str">
        <f>HYPERLINK("https://ui.adsabs.harvard.edu/abs/2023AnP...53500468B/abstract","2023AnP...53500468B")</f>
        <v>2023AnP...53500468B</v>
      </c>
      <c r="C511" s="1" t="s">
        <v>12</v>
      </c>
      <c r="E511" s="2" t="str">
        <f>HYPERLINK("https://ui.adsabs.harvard.edu/abs/2021arXiv210900728B/abstract","2021arXiv210900728B")</f>
        <v>2021arXiv210900728B</v>
      </c>
      <c r="G511" s="1" t="s">
        <v>72</v>
      </c>
      <c r="H511" s="1">
        <v>0.9910784</v>
      </c>
      <c r="I511" s="1" t="s">
        <v>759</v>
      </c>
    </row>
    <row r="512">
      <c r="A512" s="2" t="str">
        <f>HYPERLINK("https://ui.adsabs.harvard.edu/abs/2023ESC.....7..156Q/abstract","2023ESC.....7..156Q")</f>
        <v>2023ESC.....7..156Q</v>
      </c>
      <c r="B512" s="2" t="str">
        <f>HYPERLINK("https://ui.adsabs.harvard.edu/abs/2023arXiv230104103Q/abstract","2023arXiv230104103Q")</f>
        <v>2023arXiv230104103Q</v>
      </c>
      <c r="C512" s="1" t="s">
        <v>70</v>
      </c>
      <c r="E512" s="2" t="str">
        <f>HYPERLINK("https://ui.adsabs.harvard.edu/abs/2023arXiv230104103Q/abstract","2023arXiv230104103Q")</f>
        <v>2023arXiv230104103Q</v>
      </c>
      <c r="G512" s="1" t="s">
        <v>72</v>
      </c>
      <c r="H512" s="1">
        <v>0.9911571</v>
      </c>
      <c r="I512" s="1" t="s">
        <v>760</v>
      </c>
    </row>
    <row r="513">
      <c r="A513" s="2" t="str">
        <f>HYPERLINK("https://ui.adsabs.harvard.edu/abs/2023ITAP...71..984K/abstract","2023ITAP...71..984K")</f>
        <v>2023ITAP...71..984K</v>
      </c>
      <c r="B513" s="2" t="str">
        <f>HYPERLINK("https://ui.adsabs.harvard.edu/abs/2022arXiv221103496K/abstract","2022arXiv221103496K")</f>
        <v>2022arXiv221103496K</v>
      </c>
      <c r="C513" s="1" t="s">
        <v>70</v>
      </c>
      <c r="E513" s="2" t="str">
        <f>HYPERLINK("https://ui.adsabs.harvard.edu/abs/2022arXiv221103496K/abstract","2022arXiv221103496K")</f>
        <v>2022arXiv221103496K</v>
      </c>
      <c r="G513" s="1" t="s">
        <v>72</v>
      </c>
      <c r="H513" s="1">
        <v>0.9911571</v>
      </c>
      <c r="I513" s="1" t="s">
        <v>760</v>
      </c>
    </row>
    <row r="514">
      <c r="A514" s="2" t="str">
        <f>HYPERLINK("https://ui.adsabs.harvard.edu/abs/2023Optik.274q0545A/abstract","2023Optik.274q0545A")</f>
        <v>2023Optik.274q0545A</v>
      </c>
      <c r="B514" s="2" t="str">
        <f>HYPERLINK("https://ui.adsabs.harvard.edu/abs/2022arXiv221204168A/abstract","2022arXiv221204168A")</f>
        <v>2022arXiv221204168A</v>
      </c>
      <c r="C514" s="1" t="s">
        <v>70</v>
      </c>
      <c r="E514" s="2" t="str">
        <f>HYPERLINK("https://ui.adsabs.harvard.edu/abs/2022arXiv221204168A/abstract","2022arXiv221204168A")</f>
        <v>2022arXiv221204168A</v>
      </c>
      <c r="G514" s="1" t="s">
        <v>72</v>
      </c>
      <c r="H514" s="1">
        <v>0.9911571</v>
      </c>
      <c r="I514" s="1" t="s">
        <v>760</v>
      </c>
    </row>
    <row r="515">
      <c r="A515" s="2" t="str">
        <f>HYPERLINK("https://ui.adsabs.harvard.edu/abs/2023AnPhy.45069222K/abstract","2023AnPhy.45069222K")</f>
        <v>2023AnPhy.45069222K</v>
      </c>
      <c r="B515" s="2" t="str">
        <f>HYPERLINK("https://ui.adsabs.harvard.edu/abs/2022arXiv221108773K/abstract","2022arXiv221108773K")</f>
        <v>2022arXiv221108773K</v>
      </c>
      <c r="C515" s="1" t="s">
        <v>70</v>
      </c>
      <c r="E515" s="2" t="str">
        <f>HYPERLINK("https://ui.adsabs.harvard.edu/abs/2022arXiv221108773K/abstract","2022arXiv221108773K")</f>
        <v>2022arXiv221108773K</v>
      </c>
      <c r="F515" s="1" t="s">
        <v>761</v>
      </c>
      <c r="G515" s="1" t="s">
        <v>72</v>
      </c>
      <c r="H515" s="1">
        <v>0.9911684</v>
      </c>
      <c r="I515" s="1" t="s">
        <v>762</v>
      </c>
    </row>
    <row r="516">
      <c r="A516" s="2" t="str">
        <f>HYPERLINK("https://ui.adsabs.harvard.edu/abs/2023PhRvL.130c6701R/abstract","2023PhRvL.130c6701R")</f>
        <v>2023PhRvL.130c6701R</v>
      </c>
      <c r="E516" s="2" t="str">
        <f>HYPERLINK("https://ui.adsabs.harvard.edu/abs/2022arXiv220413909M/abstract","2022arXiv220413909M")</f>
        <v>2022arXiv220413909M</v>
      </c>
      <c r="F516" s="1" t="s">
        <v>763</v>
      </c>
      <c r="G516" s="1" t="s">
        <v>72</v>
      </c>
      <c r="H516" s="1">
        <v>0.9911684</v>
      </c>
      <c r="I516" s="1" t="s">
        <v>762</v>
      </c>
    </row>
    <row r="517">
      <c r="A517" s="2" t="str">
        <f>HYPERLINK("https://ui.adsabs.harvard.edu/abs/2021Quant...5..486F/abstract","2021Quant...5..486F")</f>
        <v>2021Quant...5..486F</v>
      </c>
      <c r="B517" s="2" t="str">
        <f>HYPERLINK("https://ui.adsabs.harvard.edu/abs/2021arXiv210412934F/abstract","2021arXiv210412934F")</f>
        <v>2021arXiv210412934F</v>
      </c>
      <c r="C517" s="1" t="s">
        <v>70</v>
      </c>
      <c r="E517" s="2" t="str">
        <f>HYPERLINK("https://ui.adsabs.harvard.edu/abs/2021arXiv210412934F/abstract","2021arXiv210412934F")</f>
        <v>2021arXiv210412934F</v>
      </c>
      <c r="F517" s="1" t="s">
        <v>764</v>
      </c>
      <c r="G517" s="1" t="s">
        <v>72</v>
      </c>
      <c r="H517" s="1">
        <v>0.9911684</v>
      </c>
      <c r="I517" s="1" t="s">
        <v>762</v>
      </c>
    </row>
    <row r="518">
      <c r="A518" s="2" t="str">
        <f>HYPERLINK("https://ui.adsabs.harvard.edu/abs/2022Quant...6..677W/abstract","2022Quant...6..677W")</f>
        <v>2022Quant...6..677W</v>
      </c>
      <c r="B518" s="2" t="str">
        <f>HYPERLINK("https://ui.adsabs.harvard.edu/abs/2021arXiv210712390W/abstract","2021arXiv210712390W")</f>
        <v>2021arXiv210712390W</v>
      </c>
      <c r="C518" s="1" t="s">
        <v>70</v>
      </c>
      <c r="E518" s="2" t="str">
        <f>HYPERLINK("https://ui.adsabs.harvard.edu/abs/2021arXiv210712390W/abstract","2021arXiv210712390W")</f>
        <v>2021arXiv210712390W</v>
      </c>
      <c r="F518" s="1" t="s">
        <v>765</v>
      </c>
      <c r="G518" s="1" t="s">
        <v>72</v>
      </c>
      <c r="H518" s="1">
        <v>0.9911684</v>
      </c>
      <c r="I518" s="1" t="s">
        <v>762</v>
      </c>
    </row>
    <row r="519">
      <c r="A519" s="2" t="str">
        <f>HYPERLINK("https://ui.adsabs.harvard.edu/abs/2022MPLA...3750208X/abstract","2022MPLA...3750208X")</f>
        <v>2022MPLA...3750208X</v>
      </c>
      <c r="E519" s="2" t="str">
        <f>HYPERLINK("https://ui.adsabs.harvard.edu/abs/2023arXiv230104337X/abstract","2023arXiv230104337X")</f>
        <v>2023arXiv230104337X</v>
      </c>
      <c r="G519" s="1" t="s">
        <v>72</v>
      </c>
      <c r="H519" s="1">
        <v>0.9911749</v>
      </c>
      <c r="I519" s="1" t="s">
        <v>766</v>
      </c>
    </row>
    <row r="520">
      <c r="A520" s="2" t="str">
        <f>HYPERLINK("https://ui.adsabs.harvard.edu/abs/2023PhRvD.107b3010P/abstract","2023PhRvD.107b3010P")</f>
        <v>2023PhRvD.107b3010P</v>
      </c>
      <c r="E520" s="2" t="str">
        <f>HYPERLINK("https://ui.adsabs.harvard.edu/abs/2022arXiv221009425K/abstract","2022arXiv221009425K")</f>
        <v>2022arXiv221009425K</v>
      </c>
      <c r="G520" s="1" t="s">
        <v>72</v>
      </c>
      <c r="H520" s="1">
        <v>0.9912068</v>
      </c>
      <c r="I520" s="1" t="s">
        <v>767</v>
      </c>
    </row>
    <row r="521">
      <c r="A521" s="2" t="str">
        <f>HYPERLINK("https://ui.adsabs.harvard.edu/abs/2023JHEP...01..070L/abstract","2023JHEP...01..070L")</f>
        <v>2023JHEP...01..070L</v>
      </c>
      <c r="B521" s="2" t="str">
        <f>HYPERLINK("https://ui.adsabs.harvard.edu/abs/2022arXiv220407652L/abstract","2022arXiv220407652L")</f>
        <v>2022arXiv220407652L</v>
      </c>
      <c r="C521" s="1" t="s">
        <v>70</v>
      </c>
      <c r="E521" s="2" t="str">
        <f>HYPERLINK("https://ui.adsabs.harvard.edu/abs/2022arXiv220407652L/abstract","2022arXiv220407652L")</f>
        <v>2022arXiv220407652L</v>
      </c>
      <c r="F521" s="1" t="s">
        <v>768</v>
      </c>
      <c r="G521" s="1" t="s">
        <v>72</v>
      </c>
      <c r="H521" s="1">
        <v>0.9913393</v>
      </c>
      <c r="I521" s="1" t="s">
        <v>769</v>
      </c>
    </row>
    <row r="522">
      <c r="A522" s="2" t="str">
        <f>HYPERLINK("https://ui.adsabs.harvard.edu/abs/2023PhRvP..19a4062O/abstract","2023PhRvP..19a4062O")</f>
        <v>2023PhRvP..19a4062O</v>
      </c>
      <c r="B522" s="2" t="str">
        <f>HYPERLINK("https://ui.adsabs.harvard.edu/abs/2022arXiv220603504O/abstract","2022arXiv220603504O")</f>
        <v>2022arXiv220603504O</v>
      </c>
      <c r="C522" s="1" t="s">
        <v>70</v>
      </c>
      <c r="E522" s="2" t="str">
        <f>HYPERLINK("https://ui.adsabs.harvard.edu/abs/2022arXiv220603504O/abstract","2022arXiv220603504O")</f>
        <v>2022arXiv220603504O</v>
      </c>
      <c r="F522" s="1" t="s">
        <v>770</v>
      </c>
      <c r="G522" s="1" t="s">
        <v>72</v>
      </c>
      <c r="H522" s="1">
        <v>0.9913393</v>
      </c>
      <c r="I522" s="1" t="s">
        <v>769</v>
      </c>
    </row>
    <row r="523">
      <c r="A523" s="2" t="str">
        <f>HYPERLINK("https://ui.adsabs.harvard.edu/abs/2023PhRvC.107a4314P/abstract","2023PhRvC.107a4314P")</f>
        <v>2023PhRvC.107a4314P</v>
      </c>
      <c r="B523" s="2" t="str">
        <f>HYPERLINK("https://ui.adsabs.harvard.edu/abs/2022arXiv221002421P/abstract","2022arXiv221002421P")</f>
        <v>2022arXiv221002421P</v>
      </c>
      <c r="C523" s="1" t="s">
        <v>70</v>
      </c>
      <c r="E523" s="2" t="str">
        <f>HYPERLINK("https://ui.adsabs.harvard.edu/abs/2022arXiv221002421P/abstract","2022arXiv221002421P")</f>
        <v>2022arXiv221002421P</v>
      </c>
      <c r="F523" s="1" t="s">
        <v>771</v>
      </c>
      <c r="G523" s="1" t="s">
        <v>72</v>
      </c>
      <c r="H523" s="1">
        <v>0.9913393</v>
      </c>
      <c r="I523" s="1" t="s">
        <v>769</v>
      </c>
    </row>
    <row r="524">
      <c r="A524" s="2" t="str">
        <f>HYPERLINK("https://ui.adsabs.harvard.edu/abs/2023PhRvE.107a4127A/abstract","2023PhRvE.107a4127A")</f>
        <v>2023PhRvE.107a4127A</v>
      </c>
      <c r="B524" s="2" t="str">
        <f>HYPERLINK("https://ui.adsabs.harvard.edu/abs/2022arXiv220911161A/abstract","2022arXiv220911161A")</f>
        <v>2022arXiv220911161A</v>
      </c>
      <c r="C524" s="1" t="s">
        <v>70</v>
      </c>
      <c r="E524" s="2" t="str">
        <f>HYPERLINK("https://ui.adsabs.harvard.edu/abs/2022arXiv220911161A/abstract","2022arXiv220911161A")</f>
        <v>2022arXiv220911161A</v>
      </c>
      <c r="F524" s="1" t="s">
        <v>772</v>
      </c>
      <c r="G524" s="1" t="s">
        <v>72</v>
      </c>
      <c r="H524" s="1">
        <v>0.9913393</v>
      </c>
      <c r="I524" s="1" t="s">
        <v>769</v>
      </c>
    </row>
    <row r="525">
      <c r="A525" s="2" t="str">
        <f>HYPERLINK("https://ui.adsabs.harvard.edu/abs/2023PhRvE.107a4130N/abstract","2023PhRvE.107a4130N")</f>
        <v>2023PhRvE.107a4130N</v>
      </c>
      <c r="B525" s="2" t="str">
        <f>HYPERLINK("https://ui.adsabs.harvard.edu/abs/2022arXiv221014589N/abstract","2022arXiv221014589N")</f>
        <v>2022arXiv221014589N</v>
      </c>
      <c r="C525" s="1" t="s">
        <v>70</v>
      </c>
      <c r="E525" s="2" t="str">
        <f>HYPERLINK("https://ui.adsabs.harvard.edu/abs/2022arXiv221014589N/abstract","2022arXiv221014589N")</f>
        <v>2022arXiv221014589N</v>
      </c>
      <c r="F525" s="1" t="s">
        <v>773</v>
      </c>
      <c r="G525" s="1" t="s">
        <v>72</v>
      </c>
      <c r="H525" s="1">
        <v>0.9913393</v>
      </c>
      <c r="I525" s="1" t="s">
        <v>769</v>
      </c>
    </row>
    <row r="526">
      <c r="A526" s="2" t="str">
        <f>HYPERLINK("https://ui.adsabs.harvard.edu/abs/2023PhRvE.107a4302C/abstract","2023PhRvE.107a4302C")</f>
        <v>2023PhRvE.107a4302C</v>
      </c>
      <c r="B526" s="2" t="str">
        <f>HYPERLINK("https://ui.adsabs.harvard.edu/abs/2022arXiv221001053C/abstract","2022arXiv221001053C")</f>
        <v>2022arXiv221001053C</v>
      </c>
      <c r="C526" s="1" t="s">
        <v>70</v>
      </c>
      <c r="E526" s="2" t="str">
        <f>HYPERLINK("https://ui.adsabs.harvard.edu/abs/2022arXiv221001053C/abstract","2022arXiv221001053C")</f>
        <v>2022arXiv221001053C</v>
      </c>
      <c r="F526" s="1" t="s">
        <v>774</v>
      </c>
      <c r="G526" s="1" t="s">
        <v>72</v>
      </c>
      <c r="H526" s="1">
        <v>0.9913393</v>
      </c>
      <c r="I526" s="1" t="s">
        <v>769</v>
      </c>
    </row>
    <row r="527">
      <c r="A527" s="2" t="str">
        <f>HYPERLINK("https://ui.adsabs.harvard.edu/abs/2023OptL...48..574K/abstract","2023OptL...48..574K")</f>
        <v>2023OptL...48..574K</v>
      </c>
      <c r="B527" s="2" t="str">
        <f>HYPERLINK("https://ui.adsabs.harvard.edu/abs/2022arXiv221100203K/abstract","2022arXiv221100203K")</f>
        <v>2022arXiv221100203K</v>
      </c>
      <c r="C527" s="1" t="s">
        <v>70</v>
      </c>
      <c r="E527" s="2" t="str">
        <f>HYPERLINK("https://ui.adsabs.harvard.edu/abs/2022arXiv221100203K/abstract","2022arXiv221100203K")</f>
        <v>2022arXiv221100203K</v>
      </c>
      <c r="G527" s="1" t="s">
        <v>72</v>
      </c>
      <c r="H527" s="1">
        <v>0.9914485</v>
      </c>
      <c r="I527" s="1" t="s">
        <v>775</v>
      </c>
    </row>
    <row r="528">
      <c r="A528" s="2" t="str">
        <f>HYPERLINK("https://ui.adsabs.harvard.edu/abs/2022Quant...6..682P/abstract","2022Quant...6..682P")</f>
        <v>2022Quant...6..682P</v>
      </c>
      <c r="B528" s="2" t="str">
        <f>HYPERLINK("https://ui.adsabs.harvard.edu/abs/2021arXiv210511685P/abstract","2021arXiv210511685P")</f>
        <v>2021arXiv210511685P</v>
      </c>
      <c r="C528" s="1" t="s">
        <v>70</v>
      </c>
      <c r="E528" s="2" t="str">
        <f>HYPERLINK("https://ui.adsabs.harvard.edu/abs/2021arXiv210511685P/abstract","2021arXiv210511685P")</f>
        <v>2021arXiv210511685P</v>
      </c>
      <c r="F528" s="1" t="s">
        <v>776</v>
      </c>
      <c r="G528" s="1" t="s">
        <v>72</v>
      </c>
      <c r="H528" s="1">
        <v>0.9914734</v>
      </c>
      <c r="I528" s="1" t="s">
        <v>777</v>
      </c>
    </row>
    <row r="529">
      <c r="A529" s="2" t="str">
        <f>HYPERLINK("https://ui.adsabs.harvard.edu/abs/2019Quant...3..210G/abstract","2019Quant...3..210G")</f>
        <v>2019Quant...3..210G</v>
      </c>
      <c r="B529" s="2" t="str">
        <f>HYPERLINK("https://ui.adsabs.harvard.edu/abs/2019arXiv190201748G/abstract","2019arXiv190201748G")</f>
        <v>2019arXiv190201748G</v>
      </c>
      <c r="C529" s="1" t="s">
        <v>70</v>
      </c>
      <c r="E529" s="2" t="str">
        <f>HYPERLINK("https://ui.adsabs.harvard.edu/abs/2019arXiv190201748G/abstract","2019arXiv190201748G")</f>
        <v>2019arXiv190201748G</v>
      </c>
      <c r="G529" s="1" t="s">
        <v>72</v>
      </c>
      <c r="H529" s="1">
        <v>0.9916692</v>
      </c>
      <c r="I529" s="1" t="s">
        <v>778</v>
      </c>
    </row>
    <row r="530">
      <c r="A530" s="2" t="str">
        <f>HYPERLINK("https://ui.adsabs.harvard.edu/abs/2022Quant...6..739J/abstract","2022Quant...6..739J")</f>
        <v>2022Quant...6..739J</v>
      </c>
      <c r="E530" s="2" t="str">
        <f>HYPERLINK("https://ui.adsabs.harvard.edu/abs/2021arXiv211213279J/abstract","2021arXiv211213279J")</f>
        <v>2021arXiv211213279J</v>
      </c>
      <c r="G530" s="1" t="s">
        <v>72</v>
      </c>
      <c r="H530" s="1">
        <v>0.9917253</v>
      </c>
      <c r="I530" s="1" t="s">
        <v>779</v>
      </c>
    </row>
    <row r="531">
      <c r="A531" s="2" t="str">
        <f>HYPERLINK("https://ui.adsabs.harvard.edu/abs/2023EPJC...83...38C/abstract","2023EPJC...83...38C")</f>
        <v>2023EPJC...83...38C</v>
      </c>
      <c r="B531" s="2" t="str">
        <f>HYPERLINK("https://ui.adsabs.harvard.edu/abs/2022arXiv221009397C/abstract","2022arXiv221009397C")</f>
        <v>2022arXiv221009397C</v>
      </c>
      <c r="C531" s="1" t="s">
        <v>70</v>
      </c>
      <c r="E531" s="2" t="str">
        <f>HYPERLINK("https://ui.adsabs.harvard.edu/abs/2022arXiv221009397C/abstract","2022arXiv221009397C")</f>
        <v>2022arXiv221009397C</v>
      </c>
      <c r="F531" s="1" t="s">
        <v>780</v>
      </c>
      <c r="G531" s="1" t="s">
        <v>72</v>
      </c>
      <c r="H531" s="1">
        <v>0.9917405</v>
      </c>
      <c r="I531" s="1" t="s">
        <v>781</v>
      </c>
    </row>
    <row r="532">
      <c r="A532" s="2" t="str">
        <f>HYPERLINK("https://ui.adsabs.harvard.edu/abs/2023JHEP...01..065K/abstract","2023JHEP...01..065K")</f>
        <v>2023JHEP...01..065K</v>
      </c>
      <c r="B532" s="2" t="str">
        <f>HYPERLINK("https://ui.adsabs.harvard.edu/abs/2022arXiv220905171K/abstract","2022arXiv220905171K")</f>
        <v>2022arXiv220905171K</v>
      </c>
      <c r="C532" s="1" t="s">
        <v>70</v>
      </c>
      <c r="E532" s="2" t="str">
        <f>HYPERLINK("https://ui.adsabs.harvard.edu/abs/2022arXiv220905171K/abstract","2022arXiv220905171K")</f>
        <v>2022arXiv220905171K</v>
      </c>
      <c r="F532" s="1" t="s">
        <v>782</v>
      </c>
      <c r="G532" s="1" t="s">
        <v>72</v>
      </c>
      <c r="H532" s="1">
        <v>0.9917405</v>
      </c>
      <c r="I532" s="1" t="s">
        <v>781</v>
      </c>
    </row>
    <row r="533">
      <c r="A533" s="2" t="str">
        <f>HYPERLINK("https://ui.adsabs.harvard.edu/abs/2023JHEP...01..084P/abstract","2023JHEP...01..084P")</f>
        <v>2023JHEP...01..084P</v>
      </c>
      <c r="B533" s="2" t="str">
        <f>HYPERLINK("https://ui.adsabs.harvard.edu/abs/2022arXiv221004035P/abstract","2022arXiv221004035P")</f>
        <v>2022arXiv221004035P</v>
      </c>
      <c r="C533" s="1" t="s">
        <v>70</v>
      </c>
      <c r="E533" s="2" t="str">
        <f>HYPERLINK("https://ui.adsabs.harvard.edu/abs/2022arXiv221004035P/abstract","2022arXiv221004035P")</f>
        <v>2022arXiv221004035P</v>
      </c>
      <c r="F533" s="1" t="s">
        <v>783</v>
      </c>
      <c r="G533" s="1" t="s">
        <v>72</v>
      </c>
      <c r="H533" s="1">
        <v>0.9917405</v>
      </c>
      <c r="I533" s="1" t="s">
        <v>781</v>
      </c>
    </row>
    <row r="534">
      <c r="A534" s="2" t="str">
        <f>HYPERLINK("https://ui.adsabs.harvard.edu/abs/2023InvPr..39b5005D/abstract","2023InvPr..39b5005D")</f>
        <v>2023InvPr..39b5005D</v>
      </c>
      <c r="B534" s="2" t="str">
        <f>HYPERLINK("https://ui.adsabs.harvard.edu/abs/2022arXiv220206739D/abstract","2022arXiv220206739D")</f>
        <v>2022arXiv220206739D</v>
      </c>
      <c r="C534" s="1" t="s">
        <v>70</v>
      </c>
      <c r="E534" s="2" t="str">
        <f>HYPERLINK("https://ui.adsabs.harvard.edu/abs/2022arXiv220206739D/abstract","2022arXiv220206739D")</f>
        <v>2022arXiv220206739D</v>
      </c>
      <c r="F534" s="1" t="s">
        <v>784</v>
      </c>
      <c r="G534" s="1" t="s">
        <v>72</v>
      </c>
      <c r="H534" s="1">
        <v>0.9917405</v>
      </c>
      <c r="I534" s="1" t="s">
        <v>781</v>
      </c>
    </row>
    <row r="535">
      <c r="A535" s="2" t="str">
        <f>HYPERLINK("https://ui.adsabs.harvard.edu/abs/2023QS&amp;T....8b5001J/abstract","2023QS&amp;T....8b5001J")</f>
        <v>2023QS&amp;T....8b5001J</v>
      </c>
      <c r="B535" s="2" t="str">
        <f>HYPERLINK("https://ui.adsabs.harvard.edu/abs/2022arXiv220512092J/abstract","2022arXiv220512092J")</f>
        <v>2022arXiv220512092J</v>
      </c>
      <c r="C535" s="1" t="s">
        <v>70</v>
      </c>
      <c r="E535" s="2" t="str">
        <f>HYPERLINK("https://ui.adsabs.harvard.edu/abs/2022arXiv220512092J/abstract","2022arXiv220512092J")</f>
        <v>2022arXiv220512092J</v>
      </c>
      <c r="F535" s="1" t="s">
        <v>785</v>
      </c>
      <c r="G535" s="1" t="s">
        <v>72</v>
      </c>
      <c r="H535" s="1">
        <v>0.9917405</v>
      </c>
      <c r="I535" s="1" t="s">
        <v>781</v>
      </c>
    </row>
    <row r="536">
      <c r="A536" s="2" t="str">
        <f>HYPERLINK("https://ui.adsabs.harvard.edu/abs/2023PhFl...35a3327Y/abstract","2023PhFl...35a3327Y")</f>
        <v>2023PhFl...35a3327Y</v>
      </c>
      <c r="B536" s="2" t="str">
        <f>HYPERLINK("https://ui.adsabs.harvard.edu/abs/2022arXiv221208386Y/abstract","2022arXiv221208386Y")</f>
        <v>2022arXiv221208386Y</v>
      </c>
      <c r="C536" s="1" t="s">
        <v>70</v>
      </c>
      <c r="E536" s="2" t="str">
        <f>HYPERLINK("https://ui.adsabs.harvard.edu/abs/2022arXiv221208386Y/abstract","2022arXiv221208386Y")</f>
        <v>2022arXiv221208386Y</v>
      </c>
      <c r="F536" s="1" t="s">
        <v>786</v>
      </c>
      <c r="G536" s="1" t="s">
        <v>72</v>
      </c>
      <c r="H536" s="1">
        <v>0.9917405</v>
      </c>
      <c r="I536" s="1" t="s">
        <v>781</v>
      </c>
    </row>
    <row r="537">
      <c r="A537" s="2" t="str">
        <f>HYPERLINK("https://ui.adsabs.harvard.edu/abs/2023PhFl...35a6121C/abstract","2023PhFl...35a6121C")</f>
        <v>2023PhFl...35a6121C</v>
      </c>
      <c r="B537" s="2" t="str">
        <f>HYPERLINK("https://ui.adsabs.harvard.edu/abs/2022arXiv221112214C/abstract","2022arXiv221112214C")</f>
        <v>2022arXiv221112214C</v>
      </c>
      <c r="C537" s="1" t="s">
        <v>70</v>
      </c>
      <c r="E537" s="2" t="str">
        <f>HYPERLINK("https://ui.adsabs.harvard.edu/abs/2022arXiv221112214C/abstract","2022arXiv221112214C")</f>
        <v>2022arXiv221112214C</v>
      </c>
      <c r="F537" s="1" t="s">
        <v>787</v>
      </c>
      <c r="G537" s="1" t="s">
        <v>72</v>
      </c>
      <c r="H537" s="1">
        <v>0.9917405</v>
      </c>
      <c r="I537" s="1" t="s">
        <v>781</v>
      </c>
    </row>
    <row r="538">
      <c r="A538" s="2" t="str">
        <f>HYPERLINK("https://ui.adsabs.harvard.edu/abs/2023JAP...133c5102S/abstract","2023JAP...133c5102S")</f>
        <v>2023JAP...133c5102S</v>
      </c>
      <c r="B538" s="2" t="str">
        <f>HYPERLINK("https://ui.adsabs.harvard.edu/abs/2023arXiv230107569S/abstract","2023arXiv230107569S")</f>
        <v>2023arXiv230107569S</v>
      </c>
      <c r="C538" s="1" t="s">
        <v>70</v>
      </c>
      <c r="E538" s="2" t="str">
        <f>HYPERLINK("https://ui.adsabs.harvard.edu/abs/2023arXiv230107569S/abstract","2023arXiv230107569S")</f>
        <v>2023arXiv230107569S</v>
      </c>
      <c r="F538" s="1" t="s">
        <v>788</v>
      </c>
      <c r="G538" s="1" t="s">
        <v>72</v>
      </c>
      <c r="H538" s="1">
        <v>0.9917405</v>
      </c>
      <c r="I538" s="1" t="s">
        <v>781</v>
      </c>
    </row>
    <row r="539">
      <c r="A539" s="2" t="str">
        <f>HYPERLINK("https://ui.adsabs.harvard.edu/abs/2023AIPA...13a5020P/abstract","2023AIPA...13a5020P")</f>
        <v>2023AIPA...13a5020P</v>
      </c>
      <c r="B539" s="2" t="str">
        <f>HYPERLINK("https://ui.adsabs.harvard.edu/abs/2022arXiv221105122P/abstract","2022arXiv221105122P")</f>
        <v>2022arXiv221105122P</v>
      </c>
      <c r="C539" s="1" t="s">
        <v>70</v>
      </c>
      <c r="E539" s="2" t="str">
        <f>HYPERLINK("https://ui.adsabs.harvard.edu/abs/2022arXiv221105122P/abstract","2022arXiv221105122P")</f>
        <v>2022arXiv221105122P</v>
      </c>
      <c r="F539" s="1" t="s">
        <v>789</v>
      </c>
      <c r="G539" s="1" t="s">
        <v>72</v>
      </c>
      <c r="H539" s="1">
        <v>0.9917405</v>
      </c>
      <c r="I539" s="1" t="s">
        <v>781</v>
      </c>
    </row>
    <row r="540">
      <c r="A540" s="2" t="str">
        <f>HYPERLINK("https://ui.adsabs.harvard.edu/abs/2023PhPl...30a2109V/abstract","2023PhPl...30a2109V")</f>
        <v>2023PhPl...30a2109V</v>
      </c>
      <c r="B540" s="2" t="str">
        <f>HYPERLINK("https://ui.adsabs.harvard.edu/abs/2023arXiv230103860V/abstract","2023arXiv230103860V")</f>
        <v>2023arXiv230103860V</v>
      </c>
      <c r="C540" s="1" t="s">
        <v>70</v>
      </c>
      <c r="E540" s="2" t="str">
        <f>HYPERLINK("https://ui.adsabs.harvard.edu/abs/2023arXiv230103860V/abstract","2023arXiv230103860V")</f>
        <v>2023arXiv230103860V</v>
      </c>
      <c r="F540" s="1" t="s">
        <v>790</v>
      </c>
      <c r="G540" s="1" t="s">
        <v>72</v>
      </c>
      <c r="H540" s="1">
        <v>0.9917405</v>
      </c>
      <c r="I540" s="1" t="s">
        <v>781</v>
      </c>
    </row>
    <row r="541">
      <c r="A541" s="2" t="str">
        <f>HYPERLINK("https://ui.adsabs.harvard.edu/abs/2023ApPRv..10a1303R/abstract","2023ApPRv..10a1303R")</f>
        <v>2023ApPRv..10a1303R</v>
      </c>
      <c r="B541" s="2" t="str">
        <f>HYPERLINK("https://ui.adsabs.harvard.edu/abs/2022arXiv220802368R/abstract","2022arXiv220802368R")</f>
        <v>2022arXiv220802368R</v>
      </c>
      <c r="C541" s="1" t="s">
        <v>70</v>
      </c>
      <c r="E541" s="2" t="str">
        <f>HYPERLINK("https://ui.adsabs.harvard.edu/abs/2022arXiv220802368R/abstract","2022arXiv220802368R")</f>
        <v>2022arXiv220802368R</v>
      </c>
      <c r="F541" s="1" t="s">
        <v>791</v>
      </c>
      <c r="G541" s="1" t="s">
        <v>72</v>
      </c>
      <c r="H541" s="1">
        <v>0.9917405</v>
      </c>
      <c r="I541" s="1" t="s">
        <v>781</v>
      </c>
    </row>
    <row r="542">
      <c r="A542" s="2" t="str">
        <f>HYPERLINK("https://ui.adsabs.harvard.edu/abs/2023JCoPh.47711918C/abstract","2023JCoPh.47711918C")</f>
        <v>2023JCoPh.47711918C</v>
      </c>
      <c r="B542" s="2" t="str">
        <f>HYPERLINK("https://ui.adsabs.harvard.edu/abs/2022arXiv220604811C/abstract","2022arXiv220604811C")</f>
        <v>2022arXiv220604811C</v>
      </c>
      <c r="C542" s="1" t="s">
        <v>70</v>
      </c>
      <c r="E542" s="2" t="str">
        <f>HYPERLINK("https://ui.adsabs.harvard.edu/abs/2022arXiv220604811C/abstract","2022arXiv220604811C")</f>
        <v>2022arXiv220604811C</v>
      </c>
      <c r="F542" s="1" t="s">
        <v>792</v>
      </c>
      <c r="G542" s="1" t="s">
        <v>72</v>
      </c>
      <c r="H542" s="1">
        <v>0.9917405</v>
      </c>
      <c r="I542" s="1" t="s">
        <v>781</v>
      </c>
    </row>
    <row r="543">
      <c r="A543" s="2" t="str">
        <f>HYPERLINK("https://ui.adsabs.harvard.edu/abs/2023PhLA..46128644K/abstract","2023PhLA..46128644K")</f>
        <v>2023PhLA..46128644K</v>
      </c>
      <c r="B543" s="2" t="str">
        <f>HYPERLINK("https://ui.adsabs.harvard.edu/abs/2022arXiv220900172K/abstract","2022arXiv220900172K")</f>
        <v>2022arXiv220900172K</v>
      </c>
      <c r="C543" s="1" t="s">
        <v>70</v>
      </c>
      <c r="E543" s="2" t="str">
        <f>HYPERLINK("https://ui.adsabs.harvard.edu/abs/2022arXiv220900172K/abstract","2022arXiv220900172K")</f>
        <v>2022arXiv220900172K</v>
      </c>
      <c r="F543" s="1" t="s">
        <v>793</v>
      </c>
      <c r="G543" s="1" t="s">
        <v>72</v>
      </c>
      <c r="H543" s="1">
        <v>0.9917405</v>
      </c>
      <c r="I543" s="1" t="s">
        <v>781</v>
      </c>
    </row>
    <row r="544">
      <c r="A544" s="2" t="str">
        <f>HYPERLINK("https://ui.adsabs.harvard.edu/abs/2023JGP...18604749Z/abstract","2023JGP...18604749Z")</f>
        <v>2023JGP...18604749Z</v>
      </c>
      <c r="B544" s="2" t="str">
        <f>HYPERLINK("https://ui.adsabs.harvard.edu/abs/2022arXiv220605905Z/abstract","2022arXiv220605905Z")</f>
        <v>2022arXiv220605905Z</v>
      </c>
      <c r="C544" s="1" t="s">
        <v>70</v>
      </c>
      <c r="E544" s="2" t="str">
        <f>HYPERLINK("https://ui.adsabs.harvard.edu/abs/2022arXiv220605905Z/abstract","2022arXiv220605905Z")</f>
        <v>2022arXiv220605905Z</v>
      </c>
      <c r="F544" s="1" t="s">
        <v>794</v>
      </c>
      <c r="G544" s="1" t="s">
        <v>72</v>
      </c>
      <c r="H544" s="1">
        <v>0.9917405</v>
      </c>
      <c r="I544" s="1" t="s">
        <v>781</v>
      </c>
    </row>
    <row r="545">
      <c r="A545" s="2" t="str">
        <f>HYPERLINK("https://ui.adsabs.harvard.edu/abs/2023NuPhB.98716085I/abstract","2023NuPhB.98716085I")</f>
        <v>2023NuPhB.98716085I</v>
      </c>
      <c r="B545" s="2" t="str">
        <f>HYPERLINK("https://ui.adsabs.harvard.edu/abs/2022arXiv220905351I/abstract","2022arXiv220905351I")</f>
        <v>2022arXiv220905351I</v>
      </c>
      <c r="C545" s="1" t="s">
        <v>70</v>
      </c>
      <c r="E545" s="2" t="str">
        <f>HYPERLINK("https://ui.adsabs.harvard.edu/abs/2022arXiv220905351I/abstract","2022arXiv220905351I")</f>
        <v>2022arXiv220905351I</v>
      </c>
      <c r="F545" s="1" t="s">
        <v>795</v>
      </c>
      <c r="G545" s="1" t="s">
        <v>72</v>
      </c>
      <c r="H545" s="1">
        <v>0.9917405</v>
      </c>
      <c r="I545" s="1" t="s">
        <v>781</v>
      </c>
    </row>
    <row r="546">
      <c r="A546" s="2" t="str">
        <f>HYPERLINK("https://ui.adsabs.harvard.edu/abs/2023PhRvA.107a2216M/abstract","2023PhRvA.107a2216M")</f>
        <v>2023PhRvA.107a2216M</v>
      </c>
      <c r="B546" s="2" t="str">
        <f>HYPERLINK("https://ui.adsabs.harvard.edu/abs/2022arXiv221007027M/abstract","2022arXiv221007027M")</f>
        <v>2022arXiv221007027M</v>
      </c>
      <c r="C546" s="1" t="s">
        <v>70</v>
      </c>
      <c r="E546" s="2" t="str">
        <f>HYPERLINK("https://ui.adsabs.harvard.edu/abs/2022arXiv221007027M/abstract","2022arXiv221007027M")</f>
        <v>2022arXiv221007027M</v>
      </c>
      <c r="F546" s="1" t="s">
        <v>796</v>
      </c>
      <c r="G546" s="1" t="s">
        <v>72</v>
      </c>
      <c r="H546" s="1">
        <v>0.9917405</v>
      </c>
      <c r="I546" s="1" t="s">
        <v>781</v>
      </c>
    </row>
    <row r="547">
      <c r="A547" s="2" t="str">
        <f>HYPERLINK("https://ui.adsabs.harvard.edu/abs/2023PhRvA.107a2422S/abstract","2023PhRvA.107a2422S")</f>
        <v>2023PhRvA.107a2422S</v>
      </c>
      <c r="E547" s="2" t="str">
        <f>HYPERLINK("https://ui.adsabs.harvard.edu/abs/2022arXiv220612105S/abstract","2022arXiv220612105S")</f>
        <v>2022arXiv220612105S</v>
      </c>
      <c r="F547" s="1" t="s">
        <v>797</v>
      </c>
      <c r="G547" s="1" t="s">
        <v>72</v>
      </c>
      <c r="H547" s="1">
        <v>0.9917405</v>
      </c>
      <c r="I547" s="1" t="s">
        <v>781</v>
      </c>
    </row>
    <row r="548">
      <c r="A548" s="2" t="str">
        <f>HYPERLINK("https://ui.adsabs.harvard.edu/abs/2023PhRvA.107a3308P/abstract","2023PhRvA.107a3308P")</f>
        <v>2023PhRvA.107a3308P</v>
      </c>
      <c r="B548" s="2" t="str">
        <f>HYPERLINK("https://ui.adsabs.harvard.edu/abs/2022arXiv220511731P/abstract","2022arXiv220511731P")</f>
        <v>2022arXiv220511731P</v>
      </c>
      <c r="C548" s="1" t="s">
        <v>70</v>
      </c>
      <c r="E548" s="2" t="str">
        <f>HYPERLINK("https://ui.adsabs.harvard.edu/abs/2022arXiv220511731P/abstract","2022arXiv220511731P")</f>
        <v>2022arXiv220511731P</v>
      </c>
      <c r="F548" s="1" t="s">
        <v>798</v>
      </c>
      <c r="G548" s="1" t="s">
        <v>72</v>
      </c>
      <c r="H548" s="1">
        <v>0.9917405</v>
      </c>
      <c r="I548" s="1" t="s">
        <v>781</v>
      </c>
    </row>
    <row r="549">
      <c r="A549" s="2" t="str">
        <f>HYPERLINK("https://ui.adsabs.harvard.edu/abs/2023PhRvA.107a3513R/abstract","2023PhRvA.107a3513R")</f>
        <v>2023PhRvA.107a3513R</v>
      </c>
      <c r="B549" s="2" t="str">
        <f>HYPERLINK("https://ui.adsabs.harvard.edu/abs/2022arXiv221007947R/abstract","2022arXiv221007947R")</f>
        <v>2022arXiv221007947R</v>
      </c>
      <c r="C549" s="1" t="s">
        <v>70</v>
      </c>
      <c r="E549" s="2" t="str">
        <f>HYPERLINK("https://ui.adsabs.harvard.edu/abs/2022arXiv221007947R/abstract","2022arXiv221007947R")</f>
        <v>2022arXiv221007947R</v>
      </c>
      <c r="F549" s="1" t="s">
        <v>799</v>
      </c>
      <c r="G549" s="1" t="s">
        <v>72</v>
      </c>
      <c r="H549" s="1">
        <v>0.9917405</v>
      </c>
      <c r="I549" s="1" t="s">
        <v>781</v>
      </c>
    </row>
    <row r="550">
      <c r="A550" s="2" t="str">
        <f>HYPERLINK("https://ui.adsabs.harvard.edu/abs/2023PhRvB.107b4416G/abstract","2023PhRvB.107b4416G")</f>
        <v>2023PhRvB.107b4416G</v>
      </c>
      <c r="E550" s="2" t="str">
        <f>HYPERLINK("https://ui.adsabs.harvard.edu/abs/2022arXiv221108072G/abstract","2022arXiv221108072G")</f>
        <v>2022arXiv221108072G</v>
      </c>
      <c r="F550" s="1" t="s">
        <v>800</v>
      </c>
      <c r="G550" s="1" t="s">
        <v>72</v>
      </c>
      <c r="H550" s="1">
        <v>0.9917405</v>
      </c>
      <c r="I550" s="1" t="s">
        <v>781</v>
      </c>
    </row>
    <row r="551">
      <c r="A551" s="2" t="str">
        <f>HYPERLINK("https://ui.adsabs.harvard.edu/abs/2023PhRvB.107c5425B/abstract","2023PhRvB.107c5425B")</f>
        <v>2023PhRvB.107c5425B</v>
      </c>
      <c r="B551" s="2" t="str">
        <f>HYPERLINK("https://ui.adsabs.harvard.edu/abs/2022arXiv221108176B/abstract","2022arXiv221108176B")</f>
        <v>2022arXiv221108176B</v>
      </c>
      <c r="C551" s="1" t="s">
        <v>70</v>
      </c>
      <c r="E551" s="2" t="str">
        <f>HYPERLINK("https://ui.adsabs.harvard.edu/abs/2022arXiv221108176B/abstract","2022arXiv221108176B")</f>
        <v>2022arXiv221108176B</v>
      </c>
      <c r="F551" s="1" t="s">
        <v>801</v>
      </c>
      <c r="G551" s="1" t="s">
        <v>72</v>
      </c>
      <c r="H551" s="1">
        <v>0.9917405</v>
      </c>
      <c r="I551" s="1" t="s">
        <v>781</v>
      </c>
    </row>
    <row r="552">
      <c r="A552" s="2" t="str">
        <f>HYPERLINK("https://ui.adsabs.harvard.edu/abs/2023PhRvB.107d5119M/abstract","2023PhRvB.107d5119M")</f>
        <v>2023PhRvB.107d5119M</v>
      </c>
      <c r="B552" s="2" t="str">
        <f>HYPERLINK("https://ui.adsabs.harvard.edu/abs/2022arXiv220414177M/abstract","2022arXiv220414177M")</f>
        <v>2022arXiv220414177M</v>
      </c>
      <c r="C552" s="1" t="s">
        <v>70</v>
      </c>
      <c r="E552" s="2" t="str">
        <f>HYPERLINK("https://ui.adsabs.harvard.edu/abs/2022arXiv220414177M/abstract","2022arXiv220414177M")</f>
        <v>2022arXiv220414177M</v>
      </c>
      <c r="F552" s="1" t="s">
        <v>802</v>
      </c>
      <c r="G552" s="1" t="s">
        <v>72</v>
      </c>
      <c r="H552" s="1">
        <v>0.9917405</v>
      </c>
      <c r="I552" s="1" t="s">
        <v>781</v>
      </c>
    </row>
    <row r="553">
      <c r="A553" s="2" t="str">
        <f>HYPERLINK("https://ui.adsabs.harvard.edu/abs/2023PhRvB.107d5125M/abstract","2023PhRvB.107d5125M")</f>
        <v>2023PhRvB.107d5125M</v>
      </c>
      <c r="B553" s="2" t="str">
        <f>HYPERLINK("https://ui.adsabs.harvard.edu/abs/2022arXiv221104121M/abstract","2022arXiv221104121M")</f>
        <v>2022arXiv221104121M</v>
      </c>
      <c r="C553" s="1" t="s">
        <v>70</v>
      </c>
      <c r="E553" s="2" t="str">
        <f>HYPERLINK("https://ui.adsabs.harvard.edu/abs/2022arXiv221104121M/abstract","2022arXiv221104121M")</f>
        <v>2022arXiv221104121M</v>
      </c>
      <c r="F553" s="1" t="s">
        <v>803</v>
      </c>
      <c r="G553" s="1" t="s">
        <v>72</v>
      </c>
      <c r="H553" s="1">
        <v>0.9917405</v>
      </c>
      <c r="I553" s="1" t="s">
        <v>781</v>
      </c>
    </row>
    <row r="554">
      <c r="A554" s="2" t="str">
        <f>HYPERLINK("https://ui.adsabs.harvard.edu/abs/2023PhRvB.107d1105T/abstract","2023PhRvB.107d1105T")</f>
        <v>2023PhRvB.107d1105T</v>
      </c>
      <c r="B554" s="2" t="str">
        <f>HYPERLINK("https://ui.adsabs.harvard.edu/abs/2022arXiv221212853T/abstract","2022arXiv221212853T")</f>
        <v>2022arXiv221212853T</v>
      </c>
      <c r="C554" s="1" t="s">
        <v>70</v>
      </c>
      <c r="E554" s="2" t="str">
        <f>HYPERLINK("https://ui.adsabs.harvard.edu/abs/2022arXiv221212853T/abstract","2022arXiv221212853T")</f>
        <v>2022arXiv221212853T</v>
      </c>
      <c r="F554" s="1" t="s">
        <v>804</v>
      </c>
      <c r="G554" s="1" t="s">
        <v>72</v>
      </c>
      <c r="H554" s="1">
        <v>0.9917405</v>
      </c>
      <c r="I554" s="1" t="s">
        <v>781</v>
      </c>
    </row>
    <row r="555">
      <c r="A555" s="2" t="str">
        <f>HYPERLINK("https://ui.adsabs.harvard.edu/abs/2023PhRvD.107a6007B/abstract","2023PhRvD.107a6007B")</f>
        <v>2023PhRvD.107a6007B</v>
      </c>
      <c r="B555" s="2" t="str">
        <f>HYPERLINK("https://ui.adsabs.harvard.edu/abs/2022arXiv221211839B/abstract","2022arXiv221211839B")</f>
        <v>2022arXiv221211839B</v>
      </c>
      <c r="C555" s="1" t="s">
        <v>70</v>
      </c>
      <c r="E555" s="2" t="str">
        <f>HYPERLINK("https://ui.adsabs.harvard.edu/abs/2022arXiv221211839B/abstract","2022arXiv221211839B")</f>
        <v>2022arXiv221211839B</v>
      </c>
      <c r="F555" s="1" t="s">
        <v>805</v>
      </c>
      <c r="G555" s="1" t="s">
        <v>72</v>
      </c>
      <c r="H555" s="1">
        <v>0.9917405</v>
      </c>
      <c r="I555" s="1" t="s">
        <v>781</v>
      </c>
    </row>
    <row r="556">
      <c r="A556" s="2" t="str">
        <f>HYPERLINK("https://ui.adsabs.harvard.edu/abs/2023PhRvD.107a6009S/abstract","2023PhRvD.107a6009S")</f>
        <v>2023PhRvD.107a6009S</v>
      </c>
      <c r="B556" s="2" t="str">
        <f>HYPERLINK("https://ui.adsabs.harvard.edu/abs/2022arXiv221106448S/abstract","2022arXiv221106448S")</f>
        <v>2022arXiv221106448S</v>
      </c>
      <c r="C556" s="1" t="s">
        <v>70</v>
      </c>
      <c r="E556" s="2" t="str">
        <f>HYPERLINK("https://ui.adsabs.harvard.edu/abs/2022arXiv221106448S/abstract","2022arXiv221106448S")</f>
        <v>2022arXiv221106448S</v>
      </c>
      <c r="F556" s="1" t="s">
        <v>806</v>
      </c>
      <c r="G556" s="1" t="s">
        <v>72</v>
      </c>
      <c r="H556" s="1">
        <v>0.9917405</v>
      </c>
      <c r="I556" s="1" t="s">
        <v>781</v>
      </c>
    </row>
    <row r="557">
      <c r="A557" s="2" t="str">
        <f>HYPERLINK("https://ui.adsabs.harvard.edu/abs/2023PhRvD.107b2005G/abstract","2023PhRvD.107b2005G")</f>
        <v>2023PhRvD.107b2005G</v>
      </c>
      <c r="B557" s="2" t="str">
        <f>HYPERLINK("https://ui.adsabs.harvard.edu/abs/2022arXiv220814890G/abstract","2022arXiv220814890G")</f>
        <v>2022arXiv220814890G</v>
      </c>
      <c r="C557" s="1" t="s">
        <v>70</v>
      </c>
      <c r="E557" s="2" t="str">
        <f>HYPERLINK("https://ui.adsabs.harvard.edu/abs/2022arXiv220814890G/abstract","2022arXiv220814890G")</f>
        <v>2022arXiv220814890G</v>
      </c>
      <c r="F557" s="1" t="s">
        <v>807</v>
      </c>
      <c r="G557" s="1" t="s">
        <v>72</v>
      </c>
      <c r="H557" s="1">
        <v>0.9917405</v>
      </c>
      <c r="I557" s="1" t="s">
        <v>781</v>
      </c>
    </row>
    <row r="558">
      <c r="A558" s="2" t="str">
        <f>HYPERLINK("https://ui.adsabs.harvard.edu/abs/2023PhRvD.107b4027Z/abstract","2023PhRvD.107b4027Z")</f>
        <v>2023PhRvD.107b4027Z</v>
      </c>
      <c r="B558" s="2" t="str">
        <f>HYPERLINK("https://ui.adsabs.harvard.edu/abs/2022arXiv220604430Z/abstract","2022arXiv220604430Z")</f>
        <v>2022arXiv220604430Z</v>
      </c>
      <c r="C558" s="1" t="s">
        <v>70</v>
      </c>
      <c r="E558" s="2" t="str">
        <f>HYPERLINK("https://ui.adsabs.harvard.edu/abs/2022arXiv220604430Z/abstract","2022arXiv220604430Z")</f>
        <v>2022arXiv220604430Z</v>
      </c>
      <c r="F558" s="1" t="s">
        <v>808</v>
      </c>
      <c r="G558" s="1" t="s">
        <v>72</v>
      </c>
      <c r="H558" s="1">
        <v>0.9917405</v>
      </c>
      <c r="I558" s="1" t="s">
        <v>781</v>
      </c>
    </row>
    <row r="559">
      <c r="A559" s="2" t="str">
        <f>HYPERLINK("https://ui.adsabs.harvard.edu/abs/2023PhRvD.107b6013X/abstract","2023PhRvD.107b6013X")</f>
        <v>2023PhRvD.107b6013X</v>
      </c>
      <c r="B559" s="2" t="str">
        <f>HYPERLINK("https://ui.adsabs.harvard.edu/abs/2022arXiv220412239X/abstract","2022arXiv220412239X")</f>
        <v>2022arXiv220412239X</v>
      </c>
      <c r="C559" s="1" t="s">
        <v>70</v>
      </c>
      <c r="E559" s="2" t="str">
        <f>HYPERLINK("https://ui.adsabs.harvard.edu/abs/2022arXiv220412239X/abstract","2022arXiv220412239X")</f>
        <v>2022arXiv220412239X</v>
      </c>
      <c r="F559" s="1" t="s">
        <v>809</v>
      </c>
      <c r="G559" s="1" t="s">
        <v>72</v>
      </c>
      <c r="H559" s="1">
        <v>0.9917405</v>
      </c>
      <c r="I559" s="1" t="s">
        <v>781</v>
      </c>
    </row>
    <row r="560">
      <c r="A560" s="2" t="str">
        <f>HYPERLINK("https://ui.adsabs.harvard.edu/abs/2023PhRvE.107a4124X/abstract","2023PhRvE.107a4124X")</f>
        <v>2023PhRvE.107a4124X</v>
      </c>
      <c r="B560" s="2" t="str">
        <f>HYPERLINK("https://ui.adsabs.harvard.edu/abs/2022arXiv220704222X/abstract","2022arXiv220704222X")</f>
        <v>2022arXiv220704222X</v>
      </c>
      <c r="C560" s="1" t="s">
        <v>70</v>
      </c>
      <c r="E560" s="2" t="str">
        <f>HYPERLINK("https://ui.adsabs.harvard.edu/abs/2022arXiv220704222X/abstract","2022arXiv220704222X")</f>
        <v>2022arXiv220704222X</v>
      </c>
      <c r="F560" s="1" t="s">
        <v>810</v>
      </c>
      <c r="G560" s="1" t="s">
        <v>72</v>
      </c>
      <c r="H560" s="1">
        <v>0.9917405</v>
      </c>
      <c r="I560" s="1" t="s">
        <v>781</v>
      </c>
    </row>
    <row r="561">
      <c r="A561" s="2" t="str">
        <f>HYPERLINK("https://ui.adsabs.harvard.edu/abs/2023PhRvL.130c6401C/abstract","2023PhRvL.130c6401C")</f>
        <v>2023PhRvL.130c6401C</v>
      </c>
      <c r="B561" s="2" t="str">
        <f>HYPERLINK("https://ui.adsabs.harvard.edu/abs/2022arXiv220205183C/abstract","2022arXiv220205183C")</f>
        <v>2022arXiv220205183C</v>
      </c>
      <c r="C561" s="1" t="s">
        <v>70</v>
      </c>
      <c r="E561" s="2" t="str">
        <f>HYPERLINK("https://ui.adsabs.harvard.edu/abs/2022arXiv220205183C/abstract","2022arXiv220205183C")</f>
        <v>2022arXiv220205183C</v>
      </c>
      <c r="F561" s="1" t="s">
        <v>811</v>
      </c>
      <c r="G561" s="1" t="s">
        <v>72</v>
      </c>
      <c r="H561" s="1">
        <v>0.9917405</v>
      </c>
      <c r="I561" s="1" t="s">
        <v>781</v>
      </c>
    </row>
    <row r="562">
      <c r="A562" s="2" t="str">
        <f>HYPERLINK("https://ui.adsabs.harvard.edu/abs/2023Cmplx2023....1W/abstract","2023Cmplx2023....1W")</f>
        <v>2023Cmplx2023....1W</v>
      </c>
      <c r="B562" s="2" t="str">
        <f>HYPERLINK("https://ui.adsabs.harvard.edu/abs/2022arXiv220406692W/abstract","2022arXiv220406692W")</f>
        <v>2022arXiv220406692W</v>
      </c>
      <c r="C562" s="1" t="s">
        <v>70</v>
      </c>
      <c r="E562" s="2" t="str">
        <f>HYPERLINK("https://ui.adsabs.harvard.edu/abs/2022arXiv220406692W/abstract","2022arXiv220406692W")</f>
        <v>2022arXiv220406692W</v>
      </c>
      <c r="F562" s="1" t="s">
        <v>812</v>
      </c>
      <c r="G562" s="1" t="s">
        <v>72</v>
      </c>
      <c r="H562" s="1">
        <v>0.9917405</v>
      </c>
      <c r="I562" s="1" t="s">
        <v>781</v>
      </c>
    </row>
    <row r="563">
      <c r="A563" s="2" t="str">
        <f>HYPERLINK("https://ui.adsabs.harvard.edu/abs/2023JRheo..67..417M/abstract","2023JRheo..67..417M")</f>
        <v>2023JRheo..67..417M</v>
      </c>
      <c r="B563" s="2" t="str">
        <f>HYPERLINK("https://ui.adsabs.harvard.edu/abs/2022arXiv221202550M/abstract","2022arXiv221202550M")</f>
        <v>2022arXiv221202550M</v>
      </c>
      <c r="C563" s="1" t="s">
        <v>70</v>
      </c>
      <c r="E563" s="2" t="str">
        <f>HYPERLINK("https://ui.adsabs.harvard.edu/abs/2022arXiv221202550M/abstract","2022arXiv221202550M")</f>
        <v>2022arXiv221202550M</v>
      </c>
      <c r="F563" s="1" t="s">
        <v>813</v>
      </c>
      <c r="G563" s="1" t="s">
        <v>72</v>
      </c>
      <c r="H563" s="1">
        <v>0.9917405</v>
      </c>
      <c r="I563" s="1" t="s">
        <v>781</v>
      </c>
    </row>
    <row r="564">
      <c r="A564" s="2" t="str">
        <f>HYPERLINK("https://ui.adsabs.harvard.edu/abs/2023PCCP...25.1606G/abstract","2023PCCP...25.1606G")</f>
        <v>2023PCCP...25.1606G</v>
      </c>
      <c r="B564" s="2" t="str">
        <f>HYPERLINK("https://ui.adsabs.harvard.edu/abs/2022arXiv220712864G/abstract","2022arXiv220712864G")</f>
        <v>2022arXiv220712864G</v>
      </c>
      <c r="C564" s="1" t="s">
        <v>70</v>
      </c>
      <c r="E564" s="2" t="str">
        <f>HYPERLINK("https://ui.adsabs.harvard.edu/abs/2022arXiv220712864G/abstract","2022arXiv220712864G")</f>
        <v>2022arXiv220712864G</v>
      </c>
      <c r="F564" s="1" t="s">
        <v>814</v>
      </c>
      <c r="G564" s="1" t="s">
        <v>72</v>
      </c>
      <c r="H564" s="1">
        <v>0.9917405</v>
      </c>
      <c r="I564" s="1" t="s">
        <v>781</v>
      </c>
    </row>
    <row r="565">
      <c r="A565" s="2" t="str">
        <f>HYPERLINK("https://ui.adsabs.harvard.edu/abs/2022Quant...6..687W/abstract","2022Quant...6..687W")</f>
        <v>2022Quant...6..687W</v>
      </c>
      <c r="B565" s="2" t="str">
        <f>HYPERLINK("https://ui.adsabs.harvard.edu/abs/2021arXiv210611672W/abstract","2021arXiv210611672W")</f>
        <v>2021arXiv210611672W</v>
      </c>
      <c r="C565" s="1" t="s">
        <v>70</v>
      </c>
      <c r="E565" s="2" t="str">
        <f>HYPERLINK("https://ui.adsabs.harvard.edu/abs/2021arXiv210611672W/abstract","2021arXiv210611672W")</f>
        <v>2021arXiv210611672W</v>
      </c>
      <c r="F565" s="1" t="s">
        <v>815</v>
      </c>
      <c r="G565" s="1" t="s">
        <v>72</v>
      </c>
      <c r="H565" s="1">
        <v>0.9917405</v>
      </c>
      <c r="I565" s="1" t="s">
        <v>781</v>
      </c>
    </row>
    <row r="566">
      <c r="A566" s="2" t="str">
        <f>HYPERLINK("https://ui.adsabs.harvard.edu/abs/2023ChPhL..40b0502Y/abstract","2023ChPhL..40b0502Y")</f>
        <v>2023ChPhL..40b0502Y</v>
      </c>
      <c r="B566" s="2" t="str">
        <f>HYPERLINK("https://ui.adsabs.harvard.edu/abs/2022arXiv220713285Y/abstract","2022arXiv220713285Y")</f>
        <v>2022arXiv220713285Y</v>
      </c>
      <c r="C566" s="1" t="s">
        <v>70</v>
      </c>
      <c r="E566" s="2" t="str">
        <f>HYPERLINK("https://ui.adsabs.harvard.edu/abs/2022arXiv220713285Y/abstract","2022arXiv220713285Y")</f>
        <v>2022arXiv220713285Y</v>
      </c>
      <c r="F566" s="1" t="s">
        <v>816</v>
      </c>
      <c r="G566" s="1" t="s">
        <v>72</v>
      </c>
      <c r="H566" s="1">
        <v>0.9917405</v>
      </c>
      <c r="I566" s="1" t="s">
        <v>781</v>
      </c>
    </row>
    <row r="567">
      <c r="A567" s="2" t="str">
        <f>HYPERLINK("https://ui.adsabs.harvard.edu/abs/2023GeoJI.tmp...23R/abstract","2023GeoJI.tmp...23R")</f>
        <v>2023GeoJI.tmp...23R</v>
      </c>
      <c r="B567" s="2" t="str">
        <f>HYPERLINK("https://ui.adsabs.harvard.edu/abs/2023arXiv230106717R/abstract","2023arXiv230106717R")</f>
        <v>2023arXiv230106717R</v>
      </c>
      <c r="C567" s="1" t="s">
        <v>70</v>
      </c>
      <c r="E567" s="2" t="str">
        <f>HYPERLINK("https://ui.adsabs.harvard.edu/abs/2023arXiv230106717R/abstract","2023arXiv230106717R")</f>
        <v>2023arXiv230106717R</v>
      </c>
      <c r="F567" s="1" t="s">
        <v>817</v>
      </c>
      <c r="G567" s="1" t="s">
        <v>72</v>
      </c>
      <c r="H567" s="1">
        <v>0.9917405</v>
      </c>
      <c r="I567" s="1" t="s">
        <v>781</v>
      </c>
    </row>
    <row r="568">
      <c r="A568" s="2" t="str">
        <f>HYPERLINK("https://ui.adsabs.harvard.edu/abs/2023PhRvD.107b4018G/abstract","2023PhRvD.107b4018G")</f>
        <v>2023PhRvD.107b4018G</v>
      </c>
      <c r="E568" s="2" t="str">
        <f>HYPERLINK("https://ui.adsabs.harvard.edu/abs/2022arXiv221004004D/abstract","2022arXiv221004004D")</f>
        <v>2022arXiv221004004D</v>
      </c>
      <c r="G568" s="1" t="s">
        <v>72</v>
      </c>
      <c r="H568" s="1">
        <v>0.9919241</v>
      </c>
      <c r="I568" s="1" t="s">
        <v>818</v>
      </c>
    </row>
    <row r="569">
      <c r="A569" s="2" t="str">
        <f>HYPERLINK("https://ui.adsabs.harvard.edu/abs/2023NJPh...25a3011H/abstract","2023NJPh...25a3011H")</f>
        <v>2023NJPh...25a3011H</v>
      </c>
      <c r="B569" s="2" t="str">
        <f>HYPERLINK("https://ui.adsabs.harvard.edu/abs/2022arXiv220807449H/abstract","2022arXiv220807449H")</f>
        <v>2022arXiv220807449H</v>
      </c>
      <c r="C569" s="1" t="s">
        <v>70</v>
      </c>
      <c r="E569" s="2" t="str">
        <f>HYPERLINK("https://ui.adsabs.harvard.edu/abs/2022arXiv220807449H/abstract","2022arXiv220807449H")</f>
        <v>2022arXiv220807449H</v>
      </c>
      <c r="F569" s="1" t="s">
        <v>819</v>
      </c>
      <c r="G569" s="1" t="s">
        <v>72</v>
      </c>
      <c r="H569" s="1">
        <v>0.9919399</v>
      </c>
      <c r="I569" s="1" t="s">
        <v>820</v>
      </c>
    </row>
    <row r="570">
      <c r="A570" s="2" t="str">
        <f>HYPERLINK("https://ui.adsabs.harvard.edu/abs/2023SoPh..298....7Z/abstract","2023SoPh..298....7Z")</f>
        <v>2023SoPh..298....7Z</v>
      </c>
      <c r="B570" s="2" t="str">
        <f>HYPERLINK("https://ui.adsabs.harvard.edu/abs/2022arXiv221202161Z/abstract","2022arXiv221202161Z")</f>
        <v>2022arXiv221202161Z</v>
      </c>
      <c r="C570" s="1" t="s">
        <v>70</v>
      </c>
      <c r="E570" s="2" t="str">
        <f>HYPERLINK("https://ui.adsabs.harvard.edu/abs/2022arXiv221202161Z/abstract","2022arXiv221202161Z")</f>
        <v>2022arXiv221202161Z</v>
      </c>
      <c r="F570" s="1" t="s">
        <v>821</v>
      </c>
      <c r="G570" s="1" t="s">
        <v>72</v>
      </c>
      <c r="H570" s="1">
        <v>0.9919902</v>
      </c>
      <c r="I570" s="1" t="s">
        <v>822</v>
      </c>
    </row>
    <row r="571">
      <c r="A571" s="2" t="str">
        <f>HYPERLINK("https://ui.adsabs.harvard.edu/abs/2023NJPh...25a3009L/abstract","2023NJPh...25a3009L")</f>
        <v>2023NJPh...25a3009L</v>
      </c>
      <c r="E571" s="2" t="str">
        <f>HYPERLINK("https://ui.adsabs.harvard.edu/abs/2022arXiv220412715L/abstract","2022arXiv220412715L")</f>
        <v>2022arXiv220412715L</v>
      </c>
      <c r="F571" s="1" t="s">
        <v>823</v>
      </c>
      <c r="G571" s="1" t="s">
        <v>72</v>
      </c>
      <c r="H571" s="1">
        <v>0.9919902</v>
      </c>
      <c r="I571" s="1" t="s">
        <v>822</v>
      </c>
    </row>
    <row r="572">
      <c r="A572" s="2" t="str">
        <f>HYPERLINK("https://ui.adsabs.harvard.edu/abs/2023NJPh...25a3012D/abstract","2023NJPh...25a3012D")</f>
        <v>2023NJPh...25a3012D</v>
      </c>
      <c r="B572" s="2" t="str">
        <f>HYPERLINK("https://ui.adsabs.harvard.edu/abs/2022arXiv221011112D/abstract","2022arXiv221011112D")</f>
        <v>2022arXiv221011112D</v>
      </c>
      <c r="C572" s="1" t="s">
        <v>70</v>
      </c>
      <c r="E572" s="2" t="str">
        <f>HYPERLINK("https://ui.adsabs.harvard.edu/abs/2022arXiv221011112D/abstract","2022arXiv221011112D")</f>
        <v>2022arXiv221011112D</v>
      </c>
      <c r="F572" s="1" t="s">
        <v>824</v>
      </c>
      <c r="G572" s="1" t="s">
        <v>72</v>
      </c>
      <c r="H572" s="1">
        <v>0.9919902</v>
      </c>
      <c r="I572" s="1" t="s">
        <v>822</v>
      </c>
    </row>
    <row r="573">
      <c r="A573" s="2" t="str">
        <f>HYPERLINK("https://ui.adsabs.harvard.edu/abs/2023JCoPh.47711901T/abstract","2023JCoPh.47711901T")</f>
        <v>2023JCoPh.47711901T</v>
      </c>
      <c r="B573" s="2" t="str">
        <f>HYPERLINK("https://ui.adsabs.harvard.edu/abs/2022arXiv220310901T/abstract","2022arXiv220310901T")</f>
        <v>2022arXiv220310901T</v>
      </c>
      <c r="C573" s="1" t="s">
        <v>70</v>
      </c>
      <c r="E573" s="2" t="str">
        <f>HYPERLINK("https://ui.adsabs.harvard.edu/abs/2022arXiv220310901T/abstract","2022arXiv220310901T")</f>
        <v>2022arXiv220310901T</v>
      </c>
      <c r="F573" s="1" t="s">
        <v>825</v>
      </c>
      <c r="G573" s="1" t="s">
        <v>72</v>
      </c>
      <c r="H573" s="1">
        <v>0.9919902</v>
      </c>
      <c r="I573" s="1" t="s">
        <v>822</v>
      </c>
    </row>
    <row r="574">
      <c r="A574" s="2" t="str">
        <f>HYPERLINK("https://ui.adsabs.harvard.edu/abs/2023PhRvB.107d5306H/abstract","2023PhRvB.107d5306H")</f>
        <v>2023PhRvB.107d5306H</v>
      </c>
      <c r="B574" s="2" t="str">
        <f>HYPERLINK("https://ui.adsabs.harvard.edu/abs/2022arXiv220311351H/abstract","2022arXiv220311351H")</f>
        <v>2022arXiv220311351H</v>
      </c>
      <c r="C574" s="1" t="s">
        <v>70</v>
      </c>
      <c r="E574" s="2" t="str">
        <f>HYPERLINK("https://ui.adsabs.harvard.edu/abs/2022arXiv220311351H/abstract","2022arXiv220311351H")</f>
        <v>2022arXiv220311351H</v>
      </c>
      <c r="F574" s="1" t="s">
        <v>826</v>
      </c>
      <c r="G574" s="1" t="s">
        <v>72</v>
      </c>
      <c r="H574" s="1">
        <v>0.9919902</v>
      </c>
      <c r="I574" s="1" t="s">
        <v>822</v>
      </c>
    </row>
    <row r="575">
      <c r="A575" s="2" t="str">
        <f>HYPERLINK("https://ui.adsabs.harvard.edu/abs/2023PhRvC.107a4912R/abstract","2023PhRvC.107a4912R")</f>
        <v>2023PhRvC.107a4912R</v>
      </c>
      <c r="B575" s="2" t="str">
        <f>HYPERLINK("https://ui.adsabs.harvard.edu/abs/2022arXiv221011876R/abstract","2022arXiv221011876R")</f>
        <v>2022arXiv221011876R</v>
      </c>
      <c r="C575" s="1" t="s">
        <v>70</v>
      </c>
      <c r="E575" s="2" t="str">
        <f>HYPERLINK("https://ui.adsabs.harvard.edu/abs/2022arXiv221011876R/abstract","2022arXiv221011876R")</f>
        <v>2022arXiv221011876R</v>
      </c>
      <c r="F575" s="1" t="s">
        <v>827</v>
      </c>
      <c r="G575" s="1" t="s">
        <v>72</v>
      </c>
      <c r="H575" s="1">
        <v>0.9919902</v>
      </c>
      <c r="I575" s="1" t="s">
        <v>822</v>
      </c>
    </row>
    <row r="576">
      <c r="A576" s="2" t="str">
        <f>HYPERLINK("https://ui.adsabs.harvard.edu/abs/2023PhRvD.107b3521C/abstract","2023PhRvD.107b3521C")</f>
        <v>2023PhRvD.107b3521C</v>
      </c>
      <c r="B576" s="2" t="str">
        <f>HYPERLINK("https://ui.adsabs.harvard.edu/abs/2022arXiv220515779C/abstract","2022arXiv220515779C")</f>
        <v>2022arXiv220515779C</v>
      </c>
      <c r="C576" s="1" t="s">
        <v>70</v>
      </c>
      <c r="E576" s="2" t="str">
        <f>HYPERLINK("https://ui.adsabs.harvard.edu/abs/2022arXiv220515779C/abstract","2022arXiv220515779C")</f>
        <v>2022arXiv220515779C</v>
      </c>
      <c r="F576" s="1" t="s">
        <v>828</v>
      </c>
      <c r="G576" s="1" t="s">
        <v>72</v>
      </c>
      <c r="H576" s="1">
        <v>0.9919902</v>
      </c>
      <c r="I576" s="1" t="s">
        <v>822</v>
      </c>
    </row>
    <row r="577">
      <c r="A577" s="2" t="str">
        <f>HYPERLINK("https://ui.adsabs.harvard.edu/abs/2021Quant...5..538N/abstract","2021Quant...5..538N")</f>
        <v>2021Quant...5..538N</v>
      </c>
      <c r="B577" s="2" t="str">
        <f>HYPERLINK("https://ui.adsabs.harvard.edu/abs/2021arXiv210111630N/abstract","2021arXiv210111630N")</f>
        <v>2021arXiv210111630N</v>
      </c>
      <c r="C577" s="1" t="s">
        <v>70</v>
      </c>
      <c r="E577" s="2" t="str">
        <f>HYPERLINK("https://ui.adsabs.harvard.edu/abs/2021arXiv210111630N/abstract","2021arXiv210111630N")</f>
        <v>2021arXiv210111630N</v>
      </c>
      <c r="G577" s="1" t="s">
        <v>72</v>
      </c>
      <c r="H577" s="1">
        <v>0.9920009</v>
      </c>
      <c r="I577" s="1" t="s">
        <v>829</v>
      </c>
    </row>
    <row r="578">
      <c r="A578" s="2" t="str">
        <f>HYPERLINK("https://ui.adsabs.harvard.edu/abs/2020Quant...4..232C/abstract","2020Quant...4..232C")</f>
        <v>2020Quant...4..232C</v>
      </c>
      <c r="B578" s="2" t="str">
        <f>HYPERLINK("https://ui.adsabs.harvard.edu/abs/2019arXiv191001571C/abstract","2019arXiv191001571C")</f>
        <v>2019arXiv191001571C</v>
      </c>
      <c r="C578" s="1" t="s">
        <v>70</v>
      </c>
      <c r="E578" s="2" t="str">
        <f>HYPERLINK("https://ui.adsabs.harvard.edu/abs/2019arXiv191001571C/abstract","2019arXiv191001571C")</f>
        <v>2019arXiv191001571C</v>
      </c>
      <c r="G578" s="1" t="s">
        <v>72</v>
      </c>
      <c r="H578" s="1">
        <v>0.9920992</v>
      </c>
      <c r="I578" s="1" t="s">
        <v>830</v>
      </c>
    </row>
    <row r="579">
      <c r="A579" s="2" t="str">
        <f>HYPERLINK("https://ui.adsabs.harvard.edu/abs/2020Quant...4..357B/abstract","2020Quant...4..357B")</f>
        <v>2020Quant...4..357B</v>
      </c>
      <c r="B579" s="2" t="str">
        <f>HYPERLINK("https://ui.adsabs.harvard.edu/abs/2019arXiv191202207B/abstract","2019arXiv191202207B")</f>
        <v>2019arXiv191202207B</v>
      </c>
      <c r="C579" s="1" t="s">
        <v>70</v>
      </c>
      <c r="E579" s="2" t="str">
        <f>HYPERLINK("https://ui.adsabs.harvard.edu/abs/2019arXiv191202207B/abstract","2019arXiv191202207B")</f>
        <v>2019arXiv191202207B</v>
      </c>
      <c r="G579" s="1" t="s">
        <v>72</v>
      </c>
      <c r="H579" s="1">
        <v>0.9920996</v>
      </c>
      <c r="I579" s="1" t="s">
        <v>831</v>
      </c>
    </row>
    <row r="580">
      <c r="A580" s="2" t="str">
        <f>HYPERLINK("https://ui.adsabs.harvard.edu/abs/2022Quant...6..729M/abstract","2022Quant...6..729M")</f>
        <v>2022Quant...6..729M</v>
      </c>
      <c r="E580" s="2" t="str">
        <f>HYPERLINK("https://ui.adsabs.harvard.edu/abs/2020arXiv201209663M/abstract","2020arXiv201209663M")</f>
        <v>2020arXiv201209663M</v>
      </c>
      <c r="G580" s="1" t="s">
        <v>72</v>
      </c>
      <c r="H580" s="1">
        <v>0.9921888</v>
      </c>
      <c r="I580" s="1" t="s">
        <v>832</v>
      </c>
    </row>
    <row r="581">
      <c r="A581" s="2" t="str">
        <f>HYPERLINK("https://ui.adsabs.harvard.edu/abs/2022Quant...6..776K/abstract","2022Quant...6..776K")</f>
        <v>2022Quant...6..776K</v>
      </c>
      <c r="E581" s="2" t="str">
        <f>HYPERLINK("https://ui.adsabs.harvard.edu/abs/2020arXiv201111580E/abstract","2020arXiv201111580E")</f>
        <v>2020arXiv201111580E</v>
      </c>
      <c r="G581" s="1" t="s">
        <v>72</v>
      </c>
      <c r="H581" s="1">
        <v>0.9921888</v>
      </c>
      <c r="I581" s="1" t="s">
        <v>832</v>
      </c>
    </row>
    <row r="582">
      <c r="A582" s="2" t="str">
        <f>HYPERLINK("https://ui.adsabs.harvard.edu/abs/2022Quant...6..839Y/abstract","2022Quant...6..839Y")</f>
        <v>2022Quant...6..839Y</v>
      </c>
      <c r="E582" s="2" t="str">
        <f>HYPERLINK("https://ui.adsabs.harvard.edu/abs/2020arXiv200600469A/abstract","2020arXiv200600469A")</f>
        <v>2020arXiv200600469A</v>
      </c>
      <c r="G582" s="1" t="s">
        <v>72</v>
      </c>
      <c r="H582" s="1">
        <v>0.9921888</v>
      </c>
      <c r="I582" s="1" t="s">
        <v>832</v>
      </c>
    </row>
    <row r="583">
      <c r="A583" s="2" t="str">
        <f>HYPERLINK("https://ui.adsabs.harvard.edu/abs/2023QS&amp;T....8b5002B/abstract","2023QS&amp;T....8b5002B")</f>
        <v>2023QS&amp;T....8b5002B</v>
      </c>
      <c r="B583" s="2" t="str">
        <f>HYPERLINK("https://ui.adsabs.harvard.edu/abs/2022arXiv220615360B/abstract","2022arXiv220615360B")</f>
        <v>2022arXiv220615360B</v>
      </c>
      <c r="C583" s="1" t="s">
        <v>70</v>
      </c>
      <c r="E583" s="2" t="str">
        <f>HYPERLINK("https://ui.adsabs.harvard.edu/abs/2022arXiv220615360B/abstract","2022arXiv220615360B")</f>
        <v>2022arXiv220615360B</v>
      </c>
      <c r="F583" s="1" t="s">
        <v>833</v>
      </c>
      <c r="G583" s="1" t="s">
        <v>72</v>
      </c>
      <c r="H583" s="1">
        <v>0.992273</v>
      </c>
      <c r="I583" s="1" t="s">
        <v>834</v>
      </c>
    </row>
    <row r="584">
      <c r="A584" s="2" t="str">
        <f>HYPERLINK("https://ui.adsabs.harvard.edu/abs/2023NatMa..22...84W/abstract","2023NatMa..22...84W")</f>
        <v>2023NatMa..22...84W</v>
      </c>
      <c r="B584" s="2" t="str">
        <f>HYPERLINK("https://ui.adsabs.harvard.edu/abs/2022arXiv220106022W/abstract","2022arXiv220106022W")</f>
        <v>2022arXiv220106022W</v>
      </c>
      <c r="C584" s="1" t="s">
        <v>70</v>
      </c>
      <c r="E584" s="2" t="str">
        <f>HYPERLINK("https://ui.adsabs.harvard.edu/abs/2022arXiv220106022W/abstract","2022arXiv220106022W")</f>
        <v>2022arXiv220106022W</v>
      </c>
      <c r="F584" s="1" t="s">
        <v>835</v>
      </c>
      <c r="G584" s="1" t="s">
        <v>72</v>
      </c>
      <c r="H584" s="1">
        <v>0.9925925</v>
      </c>
      <c r="I584" s="1" t="s">
        <v>836</v>
      </c>
    </row>
    <row r="585">
      <c r="A585" s="2" t="str">
        <f>HYPERLINK("https://ui.adsabs.harvard.edu/abs/2023NaPho..17..106E/abstract","2023NaPho..17..106E")</f>
        <v>2023NaPho..17..106E</v>
      </c>
      <c r="B585" s="2" t="str">
        <f>HYPERLINK("https://ui.adsabs.harvard.edu/abs/2022arXiv220501221E/abstract","2022arXiv220501221E")</f>
        <v>2022arXiv220501221E</v>
      </c>
      <c r="C585" s="1" t="s">
        <v>70</v>
      </c>
      <c r="E585" s="2" t="str">
        <f>HYPERLINK("https://ui.adsabs.harvard.edu/abs/2022arXiv220501221E/abstract","2022arXiv220501221E")</f>
        <v>2022arXiv220501221E</v>
      </c>
      <c r="F585" s="1" t="s">
        <v>837</v>
      </c>
      <c r="G585" s="1" t="s">
        <v>72</v>
      </c>
      <c r="H585" s="1">
        <v>0.9925925</v>
      </c>
      <c r="I585" s="1" t="s">
        <v>836</v>
      </c>
    </row>
    <row r="586">
      <c r="A586" s="2" t="str">
        <f>HYPERLINK("https://ui.adsabs.harvard.edu/abs/2023EPJC...83...32T/abstract","2023EPJC...83...32T")</f>
        <v>2023EPJC...83...32T</v>
      </c>
      <c r="B586" s="2" t="str">
        <f>HYPERLINK("https://ui.adsabs.harvard.edu/abs/2022arXiv220614247T/abstract","2022arXiv220614247T")</f>
        <v>2022arXiv220614247T</v>
      </c>
      <c r="C586" s="1" t="s">
        <v>70</v>
      </c>
      <c r="E586" s="2" t="str">
        <f>HYPERLINK("https://ui.adsabs.harvard.edu/abs/2022arXiv220614247T/abstract","2022arXiv220614247T")</f>
        <v>2022arXiv220614247T</v>
      </c>
      <c r="F586" s="1" t="s">
        <v>838</v>
      </c>
      <c r="G586" s="1" t="s">
        <v>72</v>
      </c>
      <c r="H586" s="1">
        <v>0.9925925</v>
      </c>
      <c r="I586" s="1" t="s">
        <v>836</v>
      </c>
    </row>
    <row r="587">
      <c r="A587" s="2" t="str">
        <f>HYPERLINK("https://ui.adsabs.harvard.edu/abs/2023EPJC...83...25C/abstract","2023EPJC...83...25C")</f>
        <v>2023EPJC...83...25C</v>
      </c>
      <c r="B587" s="2" t="str">
        <f>HYPERLINK("https://ui.adsabs.harvard.edu/abs/2022arXiv221213820C/abstract","2022arXiv221213820C")</f>
        <v>2022arXiv221213820C</v>
      </c>
      <c r="C587" s="1" t="s">
        <v>70</v>
      </c>
      <c r="E587" s="2" t="str">
        <f>HYPERLINK("https://ui.adsabs.harvard.edu/abs/2022arXiv221213820C/abstract","2022arXiv221213820C")</f>
        <v>2022arXiv221213820C</v>
      </c>
      <c r="F587" s="1" t="s">
        <v>839</v>
      </c>
      <c r="G587" s="1" t="s">
        <v>72</v>
      </c>
      <c r="H587" s="1">
        <v>0.9925925</v>
      </c>
      <c r="I587" s="1" t="s">
        <v>836</v>
      </c>
    </row>
    <row r="588">
      <c r="A588" s="2" t="str">
        <f>HYPERLINK("https://ui.adsabs.harvard.edu/abs/2023EPJC...83...24F/abstract","2023EPJC...83...24F")</f>
        <v>2023EPJC...83...24F</v>
      </c>
      <c r="B588" s="2" t="str">
        <f>HYPERLINK("https://ui.adsabs.harvard.edu/abs/2022arXiv220804051F/abstract","2022arXiv220804051F")</f>
        <v>2022arXiv220804051F</v>
      </c>
      <c r="C588" s="1" t="s">
        <v>70</v>
      </c>
      <c r="E588" s="2" t="str">
        <f>HYPERLINK("https://ui.adsabs.harvard.edu/abs/2022arXiv220804051F/abstract","2022arXiv220804051F")</f>
        <v>2022arXiv220804051F</v>
      </c>
      <c r="F588" s="1" t="s">
        <v>840</v>
      </c>
      <c r="G588" s="1" t="s">
        <v>72</v>
      </c>
      <c r="H588" s="1">
        <v>0.9925925</v>
      </c>
      <c r="I588" s="1" t="s">
        <v>836</v>
      </c>
    </row>
    <row r="589">
      <c r="A589" s="2" t="str">
        <f>HYPERLINK("https://ui.adsabs.harvard.edu/abs/2023FoPh...53...27V/abstract","2023FoPh...53...27V")</f>
        <v>2023FoPh...53...27V</v>
      </c>
      <c r="B589" s="2" t="str">
        <f>HYPERLINK("https://ui.adsabs.harvard.edu/abs/2022arXiv220701008V/abstract","2022arXiv220701008V")</f>
        <v>2022arXiv220701008V</v>
      </c>
      <c r="C589" s="1" t="s">
        <v>70</v>
      </c>
      <c r="E589" s="2" t="str">
        <f>HYPERLINK("https://ui.adsabs.harvard.edu/abs/2022arXiv220701008V/abstract","2022arXiv220701008V")</f>
        <v>2022arXiv220701008V</v>
      </c>
      <c r="F589" s="1" t="s">
        <v>841</v>
      </c>
      <c r="G589" s="1" t="s">
        <v>72</v>
      </c>
      <c r="H589" s="1">
        <v>0.9925925</v>
      </c>
      <c r="I589" s="1" t="s">
        <v>836</v>
      </c>
    </row>
    <row r="590">
      <c r="A590" s="2" t="str">
        <f>HYPERLINK("https://ui.adsabs.harvard.edu/abs/2023QuIP...22...54P/abstract","2023QuIP...22...54P")</f>
        <v>2023QuIP...22...54P</v>
      </c>
      <c r="B590" s="2" t="str">
        <f>HYPERLINK("https://ui.adsabs.harvard.edu/abs/2022arXiv220714464P/abstract","2022arXiv220714464P")</f>
        <v>2022arXiv220714464P</v>
      </c>
      <c r="C590" s="1" t="s">
        <v>70</v>
      </c>
      <c r="E590" s="2" t="str">
        <f>HYPERLINK("https://ui.adsabs.harvard.edu/abs/2022arXiv220714464P/abstract","2022arXiv220714464P")</f>
        <v>2022arXiv220714464P</v>
      </c>
      <c r="F590" s="1" t="s">
        <v>842</v>
      </c>
      <c r="G590" s="1" t="s">
        <v>72</v>
      </c>
      <c r="H590" s="1">
        <v>0.9925925</v>
      </c>
      <c r="I590" s="1" t="s">
        <v>836</v>
      </c>
    </row>
    <row r="591">
      <c r="A591" s="2" t="str">
        <f>HYPERLINK("https://ui.adsabs.harvard.edu/abs/2023FrPhy..1821301L/abstract","2023FrPhy..1821301L")</f>
        <v>2023FrPhy..1821301L</v>
      </c>
      <c r="B591" s="2" t="str">
        <f>HYPERLINK("https://ui.adsabs.harvard.edu/abs/2022arXiv221209214L/abstract","2022arXiv221209214L")</f>
        <v>2022arXiv221209214L</v>
      </c>
      <c r="C591" s="1" t="s">
        <v>70</v>
      </c>
      <c r="E591" s="2" t="str">
        <f>HYPERLINK("https://ui.adsabs.harvard.edu/abs/2022arXiv221209214L/abstract","2022arXiv221209214L")</f>
        <v>2022arXiv221209214L</v>
      </c>
      <c r="F591" s="1" t="s">
        <v>843</v>
      </c>
      <c r="G591" s="1" t="s">
        <v>72</v>
      </c>
      <c r="H591" s="1">
        <v>0.9925925</v>
      </c>
      <c r="I591" s="1" t="s">
        <v>836</v>
      </c>
    </row>
    <row r="592">
      <c r="A592" s="2" t="str">
        <f>HYPERLINK("https://ui.adsabs.harvard.edu/abs/2023JHEP...01..018B/abstract","2023JHEP...01..018B")</f>
        <v>2023JHEP...01..018B</v>
      </c>
      <c r="B592" s="2" t="str">
        <f>HYPERLINK("https://ui.adsabs.harvard.edu/abs/2022arXiv221106417B/abstract","2022arXiv221106417B")</f>
        <v>2022arXiv221106417B</v>
      </c>
      <c r="C592" s="1" t="s">
        <v>70</v>
      </c>
      <c r="E592" s="2" t="str">
        <f>HYPERLINK("https://ui.adsabs.harvard.edu/abs/2022arXiv221106417B/abstract","2022arXiv221106417B")</f>
        <v>2022arXiv221106417B</v>
      </c>
      <c r="F592" s="1" t="s">
        <v>844</v>
      </c>
      <c r="G592" s="1" t="s">
        <v>72</v>
      </c>
      <c r="H592" s="1">
        <v>0.9925925</v>
      </c>
      <c r="I592" s="1" t="s">
        <v>836</v>
      </c>
    </row>
    <row r="593">
      <c r="A593" s="2" t="str">
        <f>HYPERLINK("https://ui.adsabs.harvard.edu/abs/2023JHEP...01..020A/abstract","2023JHEP...01..020A")</f>
        <v>2023JHEP...01..020A</v>
      </c>
      <c r="B593" s="2" t="str">
        <f>HYPERLINK("https://ui.adsabs.harvard.edu/abs/2022arXiv220814462A/abstract","2022arXiv220814462A")</f>
        <v>2022arXiv220814462A</v>
      </c>
      <c r="C593" s="1" t="s">
        <v>70</v>
      </c>
      <c r="E593" s="2" t="str">
        <f>HYPERLINK("https://ui.adsabs.harvard.edu/abs/2022arXiv220814462A/abstract","2022arXiv220814462A")</f>
        <v>2022arXiv220814462A</v>
      </c>
      <c r="F593" s="1" t="s">
        <v>845</v>
      </c>
      <c r="G593" s="1" t="s">
        <v>72</v>
      </c>
      <c r="H593" s="1">
        <v>0.9925925</v>
      </c>
      <c r="I593" s="1" t="s">
        <v>836</v>
      </c>
    </row>
    <row r="594">
      <c r="A594" s="2" t="str">
        <f>HYPERLINK("https://ui.adsabs.harvard.edu/abs/2023JHEP...01..040D/abstract","2023JHEP...01..040D")</f>
        <v>2023JHEP...01..040D</v>
      </c>
      <c r="B594" s="2" t="str">
        <f>HYPERLINK("https://ui.adsabs.harvard.edu/abs/2022arXiv220601584D/abstract","2022arXiv220601584D")</f>
        <v>2022arXiv220601584D</v>
      </c>
      <c r="C594" s="1" t="s">
        <v>70</v>
      </c>
      <c r="E594" s="2" t="str">
        <f>HYPERLINK("https://ui.adsabs.harvard.edu/abs/2022arXiv220601584D/abstract","2022arXiv220601584D")</f>
        <v>2022arXiv220601584D</v>
      </c>
      <c r="F594" s="1" t="s">
        <v>846</v>
      </c>
      <c r="G594" s="1" t="s">
        <v>72</v>
      </c>
      <c r="H594" s="1">
        <v>0.9925925</v>
      </c>
      <c r="I594" s="1" t="s">
        <v>836</v>
      </c>
    </row>
    <row r="595">
      <c r="A595" s="2" t="str">
        <f>HYPERLINK("https://ui.adsabs.harvard.edu/abs/2023JHEP...01..043A/abstract","2023JHEP...01..043A")</f>
        <v>2023JHEP...01..043A</v>
      </c>
      <c r="B595" s="2" t="str">
        <f>HYPERLINK("https://ui.adsabs.harvard.edu/abs/2022arXiv221000817A/abstract","2022arXiv221000817A")</f>
        <v>2022arXiv221000817A</v>
      </c>
      <c r="C595" s="1" t="s">
        <v>70</v>
      </c>
      <c r="E595" s="2" t="str">
        <f>HYPERLINK("https://ui.adsabs.harvard.edu/abs/2022arXiv221000817A/abstract","2022arXiv221000817A")</f>
        <v>2022arXiv221000817A</v>
      </c>
      <c r="F595" s="1" t="s">
        <v>847</v>
      </c>
      <c r="G595" s="1" t="s">
        <v>72</v>
      </c>
      <c r="H595" s="1">
        <v>0.9925925</v>
      </c>
      <c r="I595" s="1" t="s">
        <v>836</v>
      </c>
    </row>
    <row r="596">
      <c r="A596" s="2" t="str">
        <f>HYPERLINK("https://ui.adsabs.harvard.edu/abs/2023JHEP...01..046W/abstract","2023JHEP...01..046W")</f>
        <v>2023JHEP...01..046W</v>
      </c>
      <c r="B596" s="2" t="str">
        <f>HYPERLINK("https://ui.adsabs.harvard.edu/abs/2022arXiv220810502W/abstract","2022arXiv220810502W")</f>
        <v>2022arXiv220810502W</v>
      </c>
      <c r="C596" s="1" t="s">
        <v>70</v>
      </c>
      <c r="E596" s="2" t="str">
        <f>HYPERLINK("https://ui.adsabs.harvard.edu/abs/2022arXiv220810502W/abstract","2022arXiv220810502W")</f>
        <v>2022arXiv220810502W</v>
      </c>
      <c r="F596" s="1" t="s">
        <v>848</v>
      </c>
      <c r="G596" s="1" t="s">
        <v>72</v>
      </c>
      <c r="H596" s="1">
        <v>0.9925925</v>
      </c>
      <c r="I596" s="1" t="s">
        <v>836</v>
      </c>
    </row>
    <row r="597">
      <c r="A597" s="2" t="str">
        <f>HYPERLINK("https://ui.adsabs.harvard.edu/abs/2023JHEP...01..048P/abstract","2023JHEP...01..048P")</f>
        <v>2023JHEP...01..048P</v>
      </c>
      <c r="B597" s="2" t="str">
        <f>HYPERLINK("https://ui.adsabs.harvard.edu/abs/2022arXiv221004036P/abstract","2022arXiv221004036P")</f>
        <v>2022arXiv221004036P</v>
      </c>
      <c r="C597" s="1" t="s">
        <v>70</v>
      </c>
      <c r="E597" s="2" t="str">
        <f>HYPERLINK("https://ui.adsabs.harvard.edu/abs/2022arXiv221004036P/abstract","2022arXiv221004036P")</f>
        <v>2022arXiv221004036P</v>
      </c>
      <c r="F597" s="1" t="s">
        <v>849</v>
      </c>
      <c r="G597" s="1" t="s">
        <v>72</v>
      </c>
      <c r="H597" s="1">
        <v>0.9925925</v>
      </c>
      <c r="I597" s="1" t="s">
        <v>836</v>
      </c>
    </row>
    <row r="598">
      <c r="A598" s="2" t="str">
        <f>HYPERLINK("https://ui.adsabs.harvard.edu/abs/2023JHEP...01..050A/abstract","2023JHEP...01..050A")</f>
        <v>2023JHEP...01..050A</v>
      </c>
      <c r="B598" s="2" t="str">
        <f>HYPERLINK("https://ui.adsabs.harvard.edu/abs/2022arXiv220801319A/abstract","2022arXiv220801319A")</f>
        <v>2022arXiv220801319A</v>
      </c>
      <c r="C598" s="1" t="s">
        <v>70</v>
      </c>
      <c r="E598" s="2" t="str">
        <f>HYPERLINK("https://ui.adsabs.harvard.edu/abs/2022arXiv220801319A/abstract","2022arXiv220801319A")</f>
        <v>2022arXiv220801319A</v>
      </c>
      <c r="F598" s="1" t="s">
        <v>850</v>
      </c>
      <c r="G598" s="1" t="s">
        <v>72</v>
      </c>
      <c r="H598" s="1">
        <v>0.9925925</v>
      </c>
      <c r="I598" s="1" t="s">
        <v>836</v>
      </c>
    </row>
    <row r="599">
      <c r="A599" s="2" t="str">
        <f>HYPERLINK("https://ui.adsabs.harvard.edu/abs/2023JHEP...01..053D/abstract","2023JHEP...01..053D")</f>
        <v>2023JHEP...01..053D</v>
      </c>
      <c r="B599" s="2" t="str">
        <f>HYPERLINK("https://ui.adsabs.harvard.edu/abs/2022arXiv221006412D/abstract","2022arXiv221006412D")</f>
        <v>2022arXiv221006412D</v>
      </c>
      <c r="C599" s="1" t="s">
        <v>70</v>
      </c>
      <c r="E599" s="2" t="str">
        <f>HYPERLINK("https://ui.adsabs.harvard.edu/abs/2022arXiv221006412D/abstract","2022arXiv221006412D")</f>
        <v>2022arXiv221006412D</v>
      </c>
      <c r="F599" s="1" t="s">
        <v>851</v>
      </c>
      <c r="G599" s="1" t="s">
        <v>72</v>
      </c>
      <c r="H599" s="1">
        <v>0.9925925</v>
      </c>
      <c r="I599" s="1" t="s">
        <v>836</v>
      </c>
    </row>
    <row r="600">
      <c r="A600" s="2" t="str">
        <f>HYPERLINK("https://ui.adsabs.harvard.edu/abs/2023JHEP...01..066H/abstract","2023JHEP...01..066H")</f>
        <v>2023JHEP...01..066H</v>
      </c>
      <c r="B600" s="2" t="str">
        <f>HYPERLINK("https://ui.adsabs.harvard.edu/abs/2022arXiv220804348H/abstract","2022arXiv220804348H")</f>
        <v>2022arXiv220804348H</v>
      </c>
      <c r="C600" s="1" t="s">
        <v>70</v>
      </c>
      <c r="E600" s="2" t="str">
        <f>HYPERLINK("https://ui.adsabs.harvard.edu/abs/2022arXiv220804348H/abstract","2022arXiv220804348H")</f>
        <v>2022arXiv220804348H</v>
      </c>
      <c r="F600" s="1" t="s">
        <v>852</v>
      </c>
      <c r="G600" s="1" t="s">
        <v>72</v>
      </c>
      <c r="H600" s="1">
        <v>0.9925925</v>
      </c>
      <c r="I600" s="1" t="s">
        <v>836</v>
      </c>
    </row>
    <row r="601">
      <c r="A601" s="2" t="str">
        <f>HYPERLINK("https://ui.adsabs.harvard.edu/abs/2023JHEP...01..068L/abstract","2023JHEP...01..068L")</f>
        <v>2023JHEP...01..068L</v>
      </c>
      <c r="B601" s="2" t="str">
        <f>HYPERLINK("https://ui.adsabs.harvard.edu/abs/2022arXiv221111440L/abstract","2022arXiv221111440L")</f>
        <v>2022arXiv221111440L</v>
      </c>
      <c r="C601" s="1" t="s">
        <v>70</v>
      </c>
      <c r="E601" s="2" t="str">
        <f>HYPERLINK("https://ui.adsabs.harvard.edu/abs/2022arXiv221111440L/abstract","2022arXiv221111440L")</f>
        <v>2022arXiv221111440L</v>
      </c>
      <c r="F601" s="1" t="s">
        <v>853</v>
      </c>
      <c r="G601" s="1" t="s">
        <v>72</v>
      </c>
      <c r="H601" s="1">
        <v>0.9925925</v>
      </c>
      <c r="I601" s="1" t="s">
        <v>836</v>
      </c>
    </row>
    <row r="602">
      <c r="A602" s="2" t="str">
        <f>HYPERLINK("https://ui.adsabs.harvard.edu/abs/2023JHEP...01..071C/abstract","2023JHEP...01..071C")</f>
        <v>2023JHEP...01..071C</v>
      </c>
      <c r="B602" s="2" t="str">
        <f>HYPERLINK("https://ui.adsabs.harvard.edu/abs/2022arXiv221107754C/abstract","2022arXiv221107754C")</f>
        <v>2022arXiv221107754C</v>
      </c>
      <c r="C602" s="1" t="s">
        <v>70</v>
      </c>
      <c r="E602" s="2" t="str">
        <f>HYPERLINK("https://ui.adsabs.harvard.edu/abs/2022arXiv221107754C/abstract","2022arXiv221107754C")</f>
        <v>2022arXiv221107754C</v>
      </c>
      <c r="F602" s="1" t="s">
        <v>854</v>
      </c>
      <c r="G602" s="1" t="s">
        <v>72</v>
      </c>
      <c r="H602" s="1">
        <v>0.9925925</v>
      </c>
      <c r="I602" s="1" t="s">
        <v>836</v>
      </c>
    </row>
    <row r="603">
      <c r="A603" s="2" t="str">
        <f>HYPERLINK("https://ui.adsabs.harvard.edu/abs/2023JHEP...01..072B/abstract","2023JHEP...01..072B")</f>
        <v>2023JHEP...01..072B</v>
      </c>
      <c r="B603" s="2" t="str">
        <f>HYPERLINK("https://ui.adsabs.harvard.edu/abs/2022arXiv220313197B/abstract","2022arXiv220313197B")</f>
        <v>2022arXiv220313197B</v>
      </c>
      <c r="C603" s="1" t="s">
        <v>70</v>
      </c>
      <c r="E603" s="2" t="str">
        <f>HYPERLINK("https://ui.adsabs.harvard.edu/abs/2022arXiv220313197B/abstract","2022arXiv220313197B")</f>
        <v>2022arXiv220313197B</v>
      </c>
      <c r="F603" s="1" t="s">
        <v>855</v>
      </c>
      <c r="G603" s="1" t="s">
        <v>72</v>
      </c>
      <c r="H603" s="1">
        <v>0.9925925</v>
      </c>
      <c r="I603" s="1" t="s">
        <v>836</v>
      </c>
    </row>
    <row r="604">
      <c r="A604" s="2" t="str">
        <f>HYPERLINK("https://ui.adsabs.harvard.edu/abs/2023JHEP...01..074L/abstract","2023JHEP...01..074L")</f>
        <v>2023JHEP...01..074L</v>
      </c>
      <c r="B604" s="2" t="str">
        <f>HYPERLINK("https://ui.adsabs.harvard.edu/abs/2022arXiv220605012L/abstract","2022arXiv220605012L")</f>
        <v>2022arXiv220605012L</v>
      </c>
      <c r="C604" s="1" t="s">
        <v>70</v>
      </c>
      <c r="E604" s="2" t="str">
        <f>HYPERLINK("https://ui.adsabs.harvard.edu/abs/2022arXiv220605012L/abstract","2022arXiv220605012L")</f>
        <v>2022arXiv220605012L</v>
      </c>
      <c r="F604" s="1" t="s">
        <v>856</v>
      </c>
      <c r="G604" s="1" t="s">
        <v>72</v>
      </c>
      <c r="H604" s="1">
        <v>0.9925925</v>
      </c>
      <c r="I604" s="1" t="s">
        <v>836</v>
      </c>
    </row>
    <row r="605">
      <c r="A605" s="2" t="str">
        <f>HYPERLINK("https://ui.adsabs.harvard.edu/abs/2023JHEP...01..077A/abstract","2023JHEP...01..077A")</f>
        <v>2023JHEP...01..077A</v>
      </c>
      <c r="B605" s="2" t="str">
        <f>HYPERLINK("https://ui.adsabs.harvard.edu/abs/2022arXiv220801441A/abstract","2022arXiv220801441A")</f>
        <v>2022arXiv220801441A</v>
      </c>
      <c r="C605" s="1" t="s">
        <v>70</v>
      </c>
      <c r="E605" s="2" t="str">
        <f>HYPERLINK("https://ui.adsabs.harvard.edu/abs/2022arXiv220801441A/abstract","2022arXiv220801441A")</f>
        <v>2022arXiv220801441A</v>
      </c>
      <c r="F605" s="1" t="s">
        <v>857</v>
      </c>
      <c r="G605" s="1" t="s">
        <v>72</v>
      </c>
      <c r="H605" s="1">
        <v>0.9925925</v>
      </c>
      <c r="I605" s="1" t="s">
        <v>836</v>
      </c>
    </row>
    <row r="606">
      <c r="A606" s="2" t="str">
        <f>HYPERLINK("https://ui.adsabs.harvard.edu/abs/2023JHEP...01..078B/abstract","2023JHEP...01..078B")</f>
        <v>2023JHEP...01..078B</v>
      </c>
      <c r="B606" s="2" t="str">
        <f>HYPERLINK("https://ui.adsabs.harvard.edu/abs/2022arXiv221104902B/abstract","2022arXiv221104902B")</f>
        <v>2022arXiv221104902B</v>
      </c>
      <c r="C606" s="1" t="s">
        <v>70</v>
      </c>
      <c r="E606" s="2" t="str">
        <f>HYPERLINK("https://ui.adsabs.harvard.edu/abs/2022arXiv221104902B/abstract","2022arXiv221104902B")</f>
        <v>2022arXiv221104902B</v>
      </c>
      <c r="F606" s="1" t="s">
        <v>858</v>
      </c>
      <c r="G606" s="1" t="s">
        <v>72</v>
      </c>
      <c r="H606" s="1">
        <v>0.9925925</v>
      </c>
      <c r="I606" s="1" t="s">
        <v>836</v>
      </c>
    </row>
    <row r="607">
      <c r="A607" s="2" t="str">
        <f>HYPERLINK("https://ui.adsabs.harvard.edu/abs/2023JHEP...01..079M/abstract","2023JHEP...01..079M")</f>
        <v>2023JHEP...01..079M</v>
      </c>
      <c r="B607" s="2" t="str">
        <f>HYPERLINK("https://ui.adsabs.harvard.edu/abs/2022arXiv220905287M/abstract","2022arXiv220905287M")</f>
        <v>2022arXiv220905287M</v>
      </c>
      <c r="C607" s="1" t="s">
        <v>70</v>
      </c>
      <c r="E607" s="2" t="str">
        <f>HYPERLINK("https://ui.adsabs.harvard.edu/abs/2022arXiv220905287M/abstract","2022arXiv220905287M")</f>
        <v>2022arXiv220905287M</v>
      </c>
      <c r="F607" s="1" t="s">
        <v>859</v>
      </c>
      <c r="G607" s="1" t="s">
        <v>72</v>
      </c>
      <c r="H607" s="1">
        <v>0.9925925</v>
      </c>
      <c r="I607" s="1" t="s">
        <v>836</v>
      </c>
    </row>
    <row r="608">
      <c r="A608" s="2" t="str">
        <f>HYPERLINK("https://ui.adsabs.harvard.edu/abs/2023JHEP...01..081E/abstract","2023JHEP...01..081E")</f>
        <v>2023JHEP...01..081E</v>
      </c>
      <c r="B608" s="2" t="str">
        <f>HYPERLINK("https://ui.adsabs.harvard.edu/abs/2022arXiv220714271E/abstract","2022arXiv220714271E")</f>
        <v>2022arXiv220714271E</v>
      </c>
      <c r="C608" s="1" t="s">
        <v>70</v>
      </c>
      <c r="E608" s="2" t="str">
        <f>HYPERLINK("https://ui.adsabs.harvard.edu/abs/2022arXiv220714271E/abstract","2022arXiv220714271E")</f>
        <v>2022arXiv220714271E</v>
      </c>
      <c r="F608" s="1" t="s">
        <v>860</v>
      </c>
      <c r="G608" s="1" t="s">
        <v>72</v>
      </c>
      <c r="H608" s="1">
        <v>0.9925925</v>
      </c>
      <c r="I608" s="1" t="s">
        <v>836</v>
      </c>
    </row>
    <row r="609">
      <c r="A609" s="2" t="str">
        <f>HYPERLINK("https://ui.adsabs.harvard.edu/abs/2023JHEP...01..083B/abstract","2023JHEP...01..083B")</f>
        <v>2023JHEP...01..083B</v>
      </c>
      <c r="B609" s="2" t="str">
        <f>HYPERLINK("https://ui.adsabs.harvard.edu/abs/2022arXiv220705578B/abstract","2022arXiv220705578B")</f>
        <v>2022arXiv220705578B</v>
      </c>
      <c r="C609" s="1" t="s">
        <v>70</v>
      </c>
      <c r="E609" s="2" t="str">
        <f>HYPERLINK("https://ui.adsabs.harvard.edu/abs/2022arXiv220705578B/abstract","2022arXiv220705578B")</f>
        <v>2022arXiv220705578B</v>
      </c>
      <c r="F609" s="1" t="s">
        <v>861</v>
      </c>
      <c r="G609" s="1" t="s">
        <v>72</v>
      </c>
      <c r="H609" s="1">
        <v>0.9925925</v>
      </c>
      <c r="I609" s="1" t="s">
        <v>836</v>
      </c>
    </row>
    <row r="610">
      <c r="A610" s="2" t="str">
        <f>HYPERLINK("https://ui.adsabs.harvard.edu/abs/2023JHEP...01..087C/abstract","2023JHEP...01..087C")</f>
        <v>2023JHEP...01..087C</v>
      </c>
      <c r="B610" s="2" t="str">
        <f>HYPERLINK("https://ui.adsabs.harvard.edu/abs/2022arXiv220313156C/abstract","2022arXiv220313156C")</f>
        <v>2022arXiv220313156C</v>
      </c>
      <c r="C610" s="1" t="s">
        <v>70</v>
      </c>
      <c r="E610" s="2" t="str">
        <f>HYPERLINK("https://ui.adsabs.harvard.edu/abs/2022arXiv220313156C/abstract","2022arXiv220313156C")</f>
        <v>2022arXiv220313156C</v>
      </c>
      <c r="F610" s="1" t="s">
        <v>862</v>
      </c>
      <c r="G610" s="1" t="s">
        <v>72</v>
      </c>
      <c r="H610" s="1">
        <v>0.9925925</v>
      </c>
      <c r="I610" s="1" t="s">
        <v>836</v>
      </c>
    </row>
    <row r="611">
      <c r="A611" s="2" t="str">
        <f>HYPERLINK("https://ui.adsabs.harvard.edu/abs/2023JHEP...01..088E/abstract","2023JHEP...01..088E")</f>
        <v>2023JHEP...01..088E</v>
      </c>
      <c r="B611" s="2" t="str">
        <f>HYPERLINK("https://ui.adsabs.harvard.edu/abs/2022arXiv220304497E/abstract","2022arXiv220304497E")</f>
        <v>2022arXiv220304497E</v>
      </c>
      <c r="C611" s="1" t="s">
        <v>70</v>
      </c>
      <c r="E611" s="2" t="str">
        <f>HYPERLINK("https://ui.adsabs.harvard.edu/abs/2022arXiv220304497E/abstract","2022arXiv220304497E")</f>
        <v>2022arXiv220304497E</v>
      </c>
      <c r="F611" s="1" t="s">
        <v>863</v>
      </c>
      <c r="G611" s="1" t="s">
        <v>72</v>
      </c>
      <c r="H611" s="1">
        <v>0.9925925</v>
      </c>
      <c r="I611" s="1" t="s">
        <v>836</v>
      </c>
    </row>
    <row r="612">
      <c r="A612" s="2" t="str">
        <f>HYPERLINK("https://ui.adsabs.harvard.edu/abs/2023EPJP..138...25Z/abstract","2023EPJP..138...25Z")</f>
        <v>2023EPJP..138...25Z</v>
      </c>
      <c r="B612" s="2" t="str">
        <f>HYPERLINK("https://ui.adsabs.harvard.edu/abs/2022arXiv221207711Z/abstract","2022arXiv221207711Z")</f>
        <v>2022arXiv221207711Z</v>
      </c>
      <c r="C612" s="1" t="s">
        <v>70</v>
      </c>
      <c r="E612" s="2" t="str">
        <f>HYPERLINK("https://ui.adsabs.harvard.edu/abs/2022arXiv221207711Z/abstract","2022arXiv221207711Z")</f>
        <v>2022arXiv221207711Z</v>
      </c>
      <c r="F612" s="1" t="s">
        <v>864</v>
      </c>
      <c r="G612" s="1" t="s">
        <v>72</v>
      </c>
      <c r="H612" s="1">
        <v>0.9925925</v>
      </c>
      <c r="I612" s="1" t="s">
        <v>836</v>
      </c>
    </row>
    <row r="613">
      <c r="A613" s="2" t="str">
        <f>HYPERLINK("https://ui.adsabs.harvard.edu/abs/2023EPJP..138...44S/abstract","2023EPJP..138...44S")</f>
        <v>2023EPJP..138...44S</v>
      </c>
      <c r="E613" s="2" t="str">
        <f>HYPERLINK("https://ui.adsabs.harvard.edu/abs/2023arXiv230104282S/abstract","2023arXiv230104282S")</f>
        <v>2023arXiv230104282S</v>
      </c>
      <c r="F613" s="1" t="s">
        <v>865</v>
      </c>
      <c r="G613" s="1" t="s">
        <v>72</v>
      </c>
      <c r="H613" s="1">
        <v>0.9925925</v>
      </c>
      <c r="I613" s="1" t="s">
        <v>836</v>
      </c>
    </row>
    <row r="614">
      <c r="A614" s="2" t="str">
        <f>HYPERLINK("https://ui.adsabs.harvard.edu/abs/2023CQGra..40c7001S/abstract","2023CQGra..40c7001S")</f>
        <v>2023CQGra..40c7001S</v>
      </c>
      <c r="B614" s="2" t="str">
        <f>HYPERLINK("https://ui.adsabs.harvard.edu/abs/2022arXiv220900321S/abstract","2022arXiv220900321S")</f>
        <v>2022arXiv220900321S</v>
      </c>
      <c r="C614" s="1" t="s">
        <v>70</v>
      </c>
      <c r="E614" s="2" t="str">
        <f>HYPERLINK("https://ui.adsabs.harvard.edu/abs/2022arXiv220900321S/abstract","2022arXiv220900321S")</f>
        <v>2022arXiv220900321S</v>
      </c>
      <c r="F614" s="1" t="s">
        <v>866</v>
      </c>
      <c r="G614" s="1" t="s">
        <v>72</v>
      </c>
      <c r="H614" s="1">
        <v>0.9925925</v>
      </c>
      <c r="I614" s="1" t="s">
        <v>836</v>
      </c>
    </row>
    <row r="615">
      <c r="A615" s="2" t="str">
        <f>HYPERLINK("https://ui.adsabs.harvard.edu/abs/2023NJPh...25a3010L/abstract","2023NJPh...25a3010L")</f>
        <v>2023NJPh...25a3010L</v>
      </c>
      <c r="B615" s="2" t="str">
        <f>HYPERLINK("https://ui.adsabs.harvard.edu/abs/2022arXiv220802780L/abstract","2022arXiv220802780L")</f>
        <v>2022arXiv220802780L</v>
      </c>
      <c r="C615" s="1" t="s">
        <v>70</v>
      </c>
      <c r="E615" s="2" t="str">
        <f>HYPERLINK("https://ui.adsabs.harvard.edu/abs/2022arXiv220802780L/abstract","2022arXiv220802780L")</f>
        <v>2022arXiv220802780L</v>
      </c>
      <c r="F615" s="1" t="s">
        <v>867</v>
      </c>
      <c r="G615" s="1" t="s">
        <v>72</v>
      </c>
      <c r="H615" s="1">
        <v>0.9925925</v>
      </c>
      <c r="I615" s="1" t="s">
        <v>836</v>
      </c>
    </row>
    <row r="616">
      <c r="A616" s="2" t="str">
        <f>HYPERLINK("https://ui.adsabs.harvard.edu/abs/2023JSMTE2023a3101N/abstract","2023JSMTE2023a3101N")</f>
        <v>2023JSMTE2023a3101N</v>
      </c>
      <c r="B616" s="2" t="str">
        <f>HYPERLINK("https://ui.adsabs.harvard.edu/abs/2022arXiv220901502N/abstract","2022arXiv220901502N")</f>
        <v>2022arXiv220901502N</v>
      </c>
      <c r="C616" s="1" t="s">
        <v>70</v>
      </c>
      <c r="E616" s="2" t="str">
        <f>HYPERLINK("https://ui.adsabs.harvard.edu/abs/2022arXiv220901502N/abstract","2022arXiv220901502N")</f>
        <v>2022arXiv220901502N</v>
      </c>
      <c r="F616" s="1" t="s">
        <v>868</v>
      </c>
      <c r="G616" s="1" t="s">
        <v>72</v>
      </c>
      <c r="H616" s="1">
        <v>0.9925925</v>
      </c>
      <c r="I616" s="1" t="s">
        <v>836</v>
      </c>
    </row>
    <row r="617">
      <c r="A617" s="2" t="str">
        <f>HYPERLINK("https://ui.adsabs.harvard.edu/abs/2022JPhA...55X5005P/abstract","2022JPhA...55X5005P")</f>
        <v>2022JPhA...55X5005P</v>
      </c>
      <c r="B617" s="2" t="str">
        <f>HYPERLINK("https://ui.adsabs.harvard.edu/abs/2022arXiv221003637P/abstract","2022arXiv221003637P")</f>
        <v>2022arXiv221003637P</v>
      </c>
      <c r="C617" s="1" t="s">
        <v>70</v>
      </c>
      <c r="E617" s="2" t="str">
        <f>HYPERLINK("https://ui.adsabs.harvard.edu/abs/2022arXiv221003637P/abstract","2022arXiv221003637P")</f>
        <v>2022arXiv221003637P</v>
      </c>
      <c r="F617" s="1" t="s">
        <v>869</v>
      </c>
      <c r="G617" s="1" t="s">
        <v>72</v>
      </c>
      <c r="H617" s="1">
        <v>0.9925925</v>
      </c>
      <c r="I617" s="1" t="s">
        <v>836</v>
      </c>
    </row>
    <row r="618">
      <c r="A618" s="2" t="str">
        <f>HYPERLINK("https://ui.adsabs.harvard.edu/abs/2023JChPh.158c4102S/abstract","2023JChPh.158c4102S")</f>
        <v>2023JChPh.158c4102S</v>
      </c>
      <c r="B618" s="2" t="str">
        <f>HYPERLINK("https://ui.adsabs.harvard.edu/abs/2022arXiv221005814S/abstract","2022arXiv221005814S")</f>
        <v>2022arXiv221005814S</v>
      </c>
      <c r="C618" s="1" t="s">
        <v>70</v>
      </c>
      <c r="E618" s="2" t="str">
        <f>HYPERLINK("https://ui.adsabs.harvard.edu/abs/2022arXiv221005814S/abstract","2022arXiv221005814S")</f>
        <v>2022arXiv221005814S</v>
      </c>
      <c r="F618" s="1" t="s">
        <v>870</v>
      </c>
      <c r="G618" s="1" t="s">
        <v>72</v>
      </c>
      <c r="H618" s="1">
        <v>0.9925925</v>
      </c>
      <c r="I618" s="1" t="s">
        <v>836</v>
      </c>
    </row>
    <row r="619">
      <c r="A619" s="2" t="str">
        <f>HYPERLINK("https://ui.adsabs.harvard.edu/abs/2023JChPh.158c4701P/abstract","2023JChPh.158c4701P")</f>
        <v>2023JChPh.158c4701P</v>
      </c>
      <c r="B619" s="2" t="str">
        <f>HYPERLINK("https://ui.adsabs.harvard.edu/abs/2022arXiv221103639P/abstract","2022arXiv221103639P")</f>
        <v>2022arXiv221103639P</v>
      </c>
      <c r="C619" s="1" t="s">
        <v>70</v>
      </c>
      <c r="E619" s="2" t="str">
        <f>HYPERLINK("https://ui.adsabs.harvard.edu/abs/2022arXiv221103639P/abstract","2022arXiv221103639P")</f>
        <v>2022arXiv221103639P</v>
      </c>
      <c r="F619" s="1" t="s">
        <v>871</v>
      </c>
      <c r="G619" s="1" t="s">
        <v>72</v>
      </c>
      <c r="H619" s="1">
        <v>0.9925925</v>
      </c>
      <c r="I619" s="1" t="s">
        <v>836</v>
      </c>
    </row>
    <row r="620">
      <c r="A620" s="2" t="str">
        <f>HYPERLINK("https://ui.adsabs.harvard.edu/abs/2023JChPh.158c4508C/abstract","2023JChPh.158c4508C")</f>
        <v>2023JChPh.158c4508C</v>
      </c>
      <c r="B620" s="2" t="str">
        <f>HYPERLINK("https://ui.adsabs.harvard.edu/abs/2022arXiv221204967C/abstract","2022arXiv221204967C")</f>
        <v>2022arXiv221204967C</v>
      </c>
      <c r="C620" s="1" t="s">
        <v>70</v>
      </c>
      <c r="E620" s="2" t="str">
        <f>HYPERLINK("https://ui.adsabs.harvard.edu/abs/2022arXiv221204967C/abstract","2022arXiv221204967C")</f>
        <v>2022arXiv221204967C</v>
      </c>
      <c r="F620" s="1" t="s">
        <v>872</v>
      </c>
      <c r="G620" s="1" t="s">
        <v>72</v>
      </c>
      <c r="H620" s="1">
        <v>0.9925925</v>
      </c>
      <c r="I620" s="1" t="s">
        <v>836</v>
      </c>
    </row>
    <row r="621">
      <c r="A621" s="2" t="str">
        <f>HYPERLINK("https://ui.adsabs.harvard.edu/abs/2023ApPhL.122c1103A/abstract","2023ApPhL.122c1103A")</f>
        <v>2023ApPhL.122c1103A</v>
      </c>
      <c r="B621" s="2" t="str">
        <f>HYPERLINK("https://ui.adsabs.harvard.edu/abs/2022arXiv220303409A/abstract","2022arXiv220303409A")</f>
        <v>2022arXiv220303409A</v>
      </c>
      <c r="C621" s="1" t="s">
        <v>70</v>
      </c>
      <c r="E621" s="2" t="str">
        <f>HYPERLINK("https://ui.adsabs.harvard.edu/abs/2022arXiv220303409A/abstract","2022arXiv220303409A")</f>
        <v>2022arXiv220303409A</v>
      </c>
      <c r="F621" s="1" t="s">
        <v>873</v>
      </c>
      <c r="G621" s="1" t="s">
        <v>72</v>
      </c>
      <c r="H621" s="1">
        <v>0.9925925</v>
      </c>
      <c r="I621" s="1" t="s">
        <v>836</v>
      </c>
    </row>
    <row r="622">
      <c r="A622" s="2" t="str">
        <f>HYPERLINK("https://ui.adsabs.harvard.edu/abs/2023Chaos..33a3125F/abstract","2023Chaos..33a3125F")</f>
        <v>2023Chaos..33a3125F</v>
      </c>
      <c r="B622" s="2" t="str">
        <f>HYPERLINK("https://ui.adsabs.harvard.edu/abs/2022arXiv221009863F/abstract","2022arXiv221009863F")</f>
        <v>2022arXiv221009863F</v>
      </c>
      <c r="C622" s="1" t="s">
        <v>70</v>
      </c>
      <c r="E622" s="2" t="str">
        <f>HYPERLINK("https://ui.adsabs.harvard.edu/abs/2022arXiv221009863F/abstract","2022arXiv221009863F")</f>
        <v>2022arXiv221009863F</v>
      </c>
      <c r="F622" s="1" t="s">
        <v>874</v>
      </c>
      <c r="G622" s="1" t="s">
        <v>72</v>
      </c>
      <c r="H622" s="1">
        <v>0.9925925</v>
      </c>
      <c r="I622" s="1" t="s">
        <v>836</v>
      </c>
    </row>
    <row r="623">
      <c r="A623" s="2" t="str">
        <f>HYPERLINK("https://ui.adsabs.harvard.edu/abs/2023AIPA...13a5216L/abstract","2023AIPA...13a5216L")</f>
        <v>2023AIPA...13a5216L</v>
      </c>
      <c r="B623" s="2" t="str">
        <f>HYPERLINK("https://ui.adsabs.harvard.edu/abs/2022arXiv221014525L/abstract","2022arXiv221014525L")</f>
        <v>2022arXiv221014525L</v>
      </c>
      <c r="C623" s="1" t="s">
        <v>70</v>
      </c>
      <c r="E623" s="2" t="str">
        <f>HYPERLINK("https://ui.adsabs.harvard.edu/abs/2022arXiv221014525L/abstract","2022arXiv221014525L")</f>
        <v>2022arXiv221014525L</v>
      </c>
      <c r="F623" s="1" t="s">
        <v>875</v>
      </c>
      <c r="G623" s="1" t="s">
        <v>72</v>
      </c>
      <c r="H623" s="1">
        <v>0.9925925</v>
      </c>
      <c r="I623" s="1" t="s">
        <v>836</v>
      </c>
    </row>
    <row r="624">
      <c r="A624" s="2" t="str">
        <f>HYPERLINK("https://ui.adsabs.harvard.edu/abs/2023CoPhC.28508654B/abstract","2023CoPhC.28508654B")</f>
        <v>2023CoPhC.28508654B</v>
      </c>
      <c r="B624" s="2" t="str">
        <f>HYPERLINK("https://ui.adsabs.harvard.edu/abs/2022arXiv221200287B/abstract","2022arXiv221200287B")</f>
        <v>2022arXiv221200287B</v>
      </c>
      <c r="C624" s="1" t="s">
        <v>70</v>
      </c>
      <c r="E624" s="2" t="str">
        <f>HYPERLINK("https://ui.adsabs.harvard.edu/abs/2022arXiv221200287B/abstract","2022arXiv221200287B")</f>
        <v>2022arXiv221200287B</v>
      </c>
      <c r="F624" s="1" t="s">
        <v>876</v>
      </c>
      <c r="G624" s="1" t="s">
        <v>72</v>
      </c>
      <c r="H624" s="1">
        <v>0.9925925</v>
      </c>
      <c r="I624" s="1" t="s">
        <v>836</v>
      </c>
    </row>
    <row r="625">
      <c r="A625" s="2" t="str">
        <f>HYPERLINK("https://ui.adsabs.harvard.edu/abs/2023JCoPh.47611913K/abstract","2023JCoPh.47611913K")</f>
        <v>2023JCoPh.47611913K</v>
      </c>
      <c r="B625" s="2" t="str">
        <f>HYPERLINK("https://ui.adsabs.harvard.edu/abs/2022arXiv220211432K/abstract","2022arXiv220211432K")</f>
        <v>2022arXiv220211432K</v>
      </c>
      <c r="C625" s="1" t="s">
        <v>70</v>
      </c>
      <c r="E625" s="2" t="str">
        <f>HYPERLINK("https://ui.adsabs.harvard.edu/abs/2022arXiv220211432K/abstract","2022arXiv220211432K")</f>
        <v>2022arXiv220211432K</v>
      </c>
      <c r="F625" s="1" t="s">
        <v>877</v>
      </c>
      <c r="G625" s="1" t="s">
        <v>72</v>
      </c>
      <c r="H625" s="1">
        <v>0.9925925</v>
      </c>
      <c r="I625" s="1" t="s">
        <v>836</v>
      </c>
    </row>
    <row r="626">
      <c r="A626" s="2" t="str">
        <f>HYPERLINK("https://ui.adsabs.harvard.edu/abs/2023JDE...349..284P/abstract","2023JDE...349..284P")</f>
        <v>2023JDE...349..284P</v>
      </c>
      <c r="B626" s="2" t="str">
        <f>HYPERLINK("https://ui.adsabs.harvard.edu/abs/2022arXiv220701347P/abstract","2022arXiv220701347P")</f>
        <v>2022arXiv220701347P</v>
      </c>
      <c r="C626" s="1" t="s">
        <v>70</v>
      </c>
      <c r="E626" s="2" t="str">
        <f>HYPERLINK("https://ui.adsabs.harvard.edu/abs/2022arXiv220701347P/abstract","2022arXiv220701347P")</f>
        <v>2022arXiv220701347P</v>
      </c>
      <c r="F626" s="1" t="s">
        <v>878</v>
      </c>
      <c r="G626" s="1" t="s">
        <v>72</v>
      </c>
      <c r="H626" s="1">
        <v>0.9925925</v>
      </c>
      <c r="I626" s="1" t="s">
        <v>836</v>
      </c>
    </row>
    <row r="627">
      <c r="A627" s="2" t="str">
        <f>HYPERLINK("https://ui.adsabs.harvard.edu/abs/2023JDE...350..308M/abstract","2023JDE...350..308M")</f>
        <v>2023JDE...350..308M</v>
      </c>
      <c r="B627" s="2" t="str">
        <f>HYPERLINK("https://ui.adsabs.harvard.edu/abs/2022arXiv220313567M/abstract","2022arXiv220313567M")</f>
        <v>2022arXiv220313567M</v>
      </c>
      <c r="C627" s="1" t="s">
        <v>70</v>
      </c>
      <c r="E627" s="2" t="str">
        <f>HYPERLINK("https://ui.adsabs.harvard.edu/abs/2022arXiv220313567M/abstract","2022arXiv220313567M")</f>
        <v>2022arXiv220313567M</v>
      </c>
      <c r="F627" s="1" t="s">
        <v>879</v>
      </c>
      <c r="G627" s="1" t="s">
        <v>72</v>
      </c>
      <c r="H627" s="1">
        <v>0.9925925</v>
      </c>
      <c r="I627" s="1" t="s">
        <v>836</v>
      </c>
    </row>
    <row r="628">
      <c r="A628" s="2" t="str">
        <f>HYPERLINK("https://ui.adsabs.harvard.edu/abs/2023JMoSp.39111736K/abstract","2023JMoSp.39111736K")</f>
        <v>2023JMoSp.39111736K</v>
      </c>
      <c r="B628" s="2" t="str">
        <f>HYPERLINK("https://ui.adsabs.harvard.edu/abs/2022arXiv221114804K/abstract","2022arXiv221114804K")</f>
        <v>2022arXiv221114804K</v>
      </c>
      <c r="C628" s="1" t="s">
        <v>70</v>
      </c>
      <c r="E628" s="2" t="str">
        <f>HYPERLINK("https://ui.adsabs.harvard.edu/abs/2022arXiv221114804K/abstract","2022arXiv221114804K")</f>
        <v>2022arXiv221114804K</v>
      </c>
      <c r="F628" s="1" t="s">
        <v>880</v>
      </c>
      <c r="G628" s="1" t="s">
        <v>72</v>
      </c>
      <c r="H628" s="1">
        <v>0.9925925</v>
      </c>
      <c r="I628" s="1" t="s">
        <v>836</v>
      </c>
    </row>
    <row r="629">
      <c r="A629" s="2" t="str">
        <f>HYPERLINK("https://ui.adsabs.harvard.edu/abs/2023JMPSo.17305193C/abstract","2023JMPSo.17305193C")</f>
        <v>2023JMPSo.17305193C</v>
      </c>
      <c r="B629" s="2" t="str">
        <f>HYPERLINK("https://ui.adsabs.harvard.edu/abs/2022arXiv220907814C/abstract","2022arXiv220907814C")</f>
        <v>2022arXiv220907814C</v>
      </c>
      <c r="C629" s="1" t="s">
        <v>70</v>
      </c>
      <c r="E629" s="2" t="str">
        <f>HYPERLINK("https://ui.adsabs.harvard.edu/abs/2022arXiv220907814C/abstract","2022arXiv220907814C")</f>
        <v>2022arXiv220907814C</v>
      </c>
      <c r="F629" s="1" t="s">
        <v>881</v>
      </c>
      <c r="G629" s="1" t="s">
        <v>72</v>
      </c>
      <c r="H629" s="1">
        <v>0.9925925</v>
      </c>
      <c r="I629" s="1" t="s">
        <v>836</v>
      </c>
    </row>
    <row r="630">
      <c r="A630" s="2" t="str">
        <f>HYPERLINK("https://ui.adsabs.harvard.edu/abs/2023PhyD..44533649G/abstract","2023PhyD..44533649G")</f>
        <v>2023PhyD..44533649G</v>
      </c>
      <c r="B630" s="2" t="str">
        <f>HYPERLINK("https://ui.adsabs.harvard.edu/abs/2022arXiv220404073G/abstract","2022arXiv220404073G")</f>
        <v>2022arXiv220404073G</v>
      </c>
      <c r="C630" s="1" t="s">
        <v>70</v>
      </c>
      <c r="E630" s="2" t="str">
        <f>HYPERLINK("https://ui.adsabs.harvard.edu/abs/2022arXiv220404073G/abstract","2022arXiv220404073G")</f>
        <v>2022arXiv220404073G</v>
      </c>
      <c r="F630" s="1" t="s">
        <v>882</v>
      </c>
      <c r="G630" s="1" t="s">
        <v>72</v>
      </c>
      <c r="H630" s="1">
        <v>0.9925925</v>
      </c>
      <c r="I630" s="1" t="s">
        <v>836</v>
      </c>
    </row>
    <row r="631">
      <c r="A631" s="2" t="str">
        <f>HYPERLINK("https://ui.adsabs.harvard.edu/abs/2023PhyD..44533654G/abstract","2023PhyD..44533654G")</f>
        <v>2023PhyD..44533654G</v>
      </c>
      <c r="B631" s="2" t="str">
        <f>HYPERLINK("https://ui.adsabs.harvard.edu/abs/2022arXiv221210860G/abstract","2022arXiv221210860G")</f>
        <v>2022arXiv221210860G</v>
      </c>
      <c r="C631" s="1" t="s">
        <v>70</v>
      </c>
      <c r="E631" s="2" t="str">
        <f>HYPERLINK("https://ui.adsabs.harvard.edu/abs/2022arXiv221210860G/abstract","2022arXiv221210860G")</f>
        <v>2022arXiv221210860G</v>
      </c>
      <c r="F631" s="1" t="s">
        <v>883</v>
      </c>
      <c r="G631" s="1" t="s">
        <v>72</v>
      </c>
      <c r="H631" s="1">
        <v>0.9925925</v>
      </c>
      <c r="I631" s="1" t="s">
        <v>836</v>
      </c>
    </row>
    <row r="632">
      <c r="A632" s="2" t="str">
        <f>HYPERLINK("https://ui.adsabs.harvard.edu/abs/2023JMMM..56870420H/abstract","2023JMMM..56870420H")</f>
        <v>2023JMMM..56870420H</v>
      </c>
      <c r="B632" s="2" t="str">
        <f>HYPERLINK("https://ui.adsabs.harvard.edu/abs/2023arXiv230107938H/abstract","2023arXiv230107938H")</f>
        <v>2023arXiv230107938H</v>
      </c>
      <c r="C632" s="1" t="s">
        <v>70</v>
      </c>
      <c r="E632" s="2" t="str">
        <f>HYPERLINK("https://ui.adsabs.harvard.edu/abs/2023arXiv230107938H/abstract","2023arXiv230107938H")</f>
        <v>2023arXiv230107938H</v>
      </c>
      <c r="F632" s="1" t="s">
        <v>884</v>
      </c>
      <c r="G632" s="1" t="s">
        <v>72</v>
      </c>
      <c r="H632" s="1">
        <v>0.9925925</v>
      </c>
      <c r="I632" s="1" t="s">
        <v>836</v>
      </c>
    </row>
    <row r="633">
      <c r="A633" s="2" t="str">
        <f>HYPERLINK("https://ui.adsabs.harvard.edu/abs/2023PhyA..61228487D/abstract","2023PhyA..61228487D")</f>
        <v>2023PhyA..61228487D</v>
      </c>
      <c r="B633" s="2" t="str">
        <f>HYPERLINK("https://ui.adsabs.harvard.edu/abs/2022arXiv220705218D/abstract","2022arXiv220705218D")</f>
        <v>2022arXiv220705218D</v>
      </c>
      <c r="C633" s="1" t="s">
        <v>70</v>
      </c>
      <c r="E633" s="2" t="str">
        <f>HYPERLINK("https://ui.adsabs.harvard.edu/abs/2022arXiv220705218D/abstract","2022arXiv220705218D")</f>
        <v>2022arXiv220705218D</v>
      </c>
      <c r="F633" s="1" t="s">
        <v>885</v>
      </c>
      <c r="G633" s="1" t="s">
        <v>72</v>
      </c>
      <c r="H633" s="1">
        <v>0.9925925</v>
      </c>
      <c r="I633" s="1" t="s">
        <v>836</v>
      </c>
    </row>
    <row r="634">
      <c r="A634" s="2" t="str">
        <f>HYPERLINK("https://ui.adsabs.harvard.edu/abs/2023CSF...16813118L/abstract","2023CSF...16813118L")</f>
        <v>2023CSF...16813118L</v>
      </c>
      <c r="B634" s="2" t="str">
        <f>HYPERLINK("https://ui.adsabs.harvard.edu/abs/2022arXiv221002011L/abstract","2022arXiv221002011L")</f>
        <v>2022arXiv221002011L</v>
      </c>
      <c r="C634" s="1" t="s">
        <v>70</v>
      </c>
      <c r="E634" s="2" t="str">
        <f>HYPERLINK("https://ui.adsabs.harvard.edu/abs/2022arXiv221002011L/abstract","2022arXiv221002011L")</f>
        <v>2022arXiv221002011L</v>
      </c>
      <c r="F634" s="1" t="s">
        <v>886</v>
      </c>
      <c r="G634" s="1" t="s">
        <v>72</v>
      </c>
      <c r="H634" s="1">
        <v>0.9925925</v>
      </c>
      <c r="I634" s="1" t="s">
        <v>836</v>
      </c>
    </row>
    <row r="635">
      <c r="A635" s="2" t="str">
        <f>HYPERLINK("https://ui.adsabs.harvard.edu/abs/2023CSF...16813135P/abstract","2023CSF...16813135P")</f>
        <v>2023CSF...16813135P</v>
      </c>
      <c r="B635" s="2" t="str">
        <f>HYPERLINK("https://ui.adsabs.harvard.edu/abs/2022arXiv221101425P/abstract","2022arXiv221101425P")</f>
        <v>2022arXiv221101425P</v>
      </c>
      <c r="C635" s="1" t="s">
        <v>70</v>
      </c>
      <c r="E635" s="2" t="str">
        <f>HYPERLINK("https://ui.adsabs.harvard.edu/abs/2022arXiv221101425P/abstract","2022arXiv221101425P")</f>
        <v>2022arXiv221101425P</v>
      </c>
      <c r="F635" s="1" t="s">
        <v>887</v>
      </c>
      <c r="G635" s="1" t="s">
        <v>72</v>
      </c>
      <c r="H635" s="1">
        <v>0.9925925</v>
      </c>
      <c r="I635" s="1" t="s">
        <v>836</v>
      </c>
    </row>
    <row r="636">
      <c r="A636" s="2" t="str">
        <f>HYPERLINK("https://ui.adsabs.harvard.edu/abs/2023PhyE..14815645C/abstract","2023PhyE..14815645C")</f>
        <v>2023PhyE..14815645C</v>
      </c>
      <c r="B636" s="2" t="str">
        <f>HYPERLINK("https://ui.adsabs.harvard.edu/abs/2022arXiv220603089C/abstract","2022arXiv220603089C")</f>
        <v>2022arXiv220603089C</v>
      </c>
      <c r="C636" s="1" t="s">
        <v>70</v>
      </c>
      <c r="E636" s="2" t="str">
        <f>HYPERLINK("https://ui.adsabs.harvard.edu/abs/2022arXiv220603089C/abstract","2022arXiv220603089C")</f>
        <v>2022arXiv220603089C</v>
      </c>
      <c r="F636" s="1" t="s">
        <v>888</v>
      </c>
      <c r="G636" s="1" t="s">
        <v>72</v>
      </c>
      <c r="H636" s="1">
        <v>0.9925925</v>
      </c>
      <c r="I636" s="1" t="s">
        <v>836</v>
      </c>
    </row>
    <row r="637">
      <c r="A637" s="2" t="str">
        <f>HYPERLINK("https://ui.adsabs.harvard.edu/abs/2023PhRvA.107a2423D/abstract","2023PhRvA.107a2423D")</f>
        <v>2023PhRvA.107a2423D</v>
      </c>
      <c r="B637" s="2" t="str">
        <f>HYPERLINK("https://ui.adsabs.harvard.edu/abs/2022arXiv220514406D/abstract","2022arXiv220514406D")</f>
        <v>2022arXiv220514406D</v>
      </c>
      <c r="C637" s="1" t="s">
        <v>70</v>
      </c>
      <c r="E637" s="2" t="str">
        <f>HYPERLINK("https://ui.adsabs.harvard.edu/abs/2022arXiv220514406D/abstract","2022arXiv220514406D")</f>
        <v>2022arXiv220514406D</v>
      </c>
      <c r="F637" s="1" t="s">
        <v>889</v>
      </c>
      <c r="G637" s="1" t="s">
        <v>72</v>
      </c>
      <c r="H637" s="1">
        <v>0.9925925</v>
      </c>
      <c r="I637" s="1" t="s">
        <v>836</v>
      </c>
    </row>
    <row r="638">
      <c r="A638" s="2" t="str">
        <f>HYPERLINK("https://ui.adsabs.harvard.edu/abs/2023PhRvA.107a3715M/abstract","2023PhRvA.107a3715M")</f>
        <v>2023PhRvA.107a3715M</v>
      </c>
      <c r="B638" s="2" t="str">
        <f>HYPERLINK("https://ui.adsabs.harvard.edu/abs/2022arXiv220403520M/abstract","2022arXiv220403520M")</f>
        <v>2022arXiv220403520M</v>
      </c>
      <c r="C638" s="1" t="s">
        <v>70</v>
      </c>
      <c r="E638" s="2" t="str">
        <f>HYPERLINK("https://ui.adsabs.harvard.edu/abs/2022arXiv220403520M/abstract","2022arXiv220403520M")</f>
        <v>2022arXiv220403520M</v>
      </c>
      <c r="F638" s="1" t="s">
        <v>890</v>
      </c>
      <c r="G638" s="1" t="s">
        <v>72</v>
      </c>
      <c r="H638" s="1">
        <v>0.9925925</v>
      </c>
      <c r="I638" s="1" t="s">
        <v>836</v>
      </c>
    </row>
    <row r="639">
      <c r="A639" s="2" t="str">
        <f>HYPERLINK("https://ui.adsabs.harvard.edu/abs/2023PhRvP..19a4049R/abstract","2023PhRvP..19a4049R")</f>
        <v>2023PhRvP..19a4049R</v>
      </c>
      <c r="B639" s="2" t="str">
        <f>HYPERLINK("https://ui.adsabs.harvard.edu/abs/2022arXiv220207122R/abstract","2022arXiv220207122R")</f>
        <v>2022arXiv220207122R</v>
      </c>
      <c r="C639" s="1" t="s">
        <v>70</v>
      </c>
      <c r="E639" s="2" t="str">
        <f>HYPERLINK("https://ui.adsabs.harvard.edu/abs/2022arXiv220207122R/abstract","2022arXiv220207122R")</f>
        <v>2022arXiv220207122R</v>
      </c>
      <c r="F639" s="1" t="s">
        <v>891</v>
      </c>
      <c r="G639" s="1" t="s">
        <v>72</v>
      </c>
      <c r="H639" s="1">
        <v>0.9925925</v>
      </c>
      <c r="I639" s="1" t="s">
        <v>836</v>
      </c>
    </row>
    <row r="640">
      <c r="A640" s="2" t="str">
        <f>HYPERLINK("https://ui.adsabs.harvard.edu/abs/2023PhRvB.107a4416P/abstract","2023PhRvB.107a4416P")</f>
        <v>2023PhRvB.107a4416P</v>
      </c>
      <c r="B640" s="2" t="str">
        <f>HYPERLINK("https://ui.adsabs.harvard.edu/abs/2022arXiv220709164P/abstract","2022arXiv220709164P")</f>
        <v>2022arXiv220709164P</v>
      </c>
      <c r="C640" s="1" t="s">
        <v>70</v>
      </c>
      <c r="E640" s="2" t="str">
        <f>HYPERLINK("https://ui.adsabs.harvard.edu/abs/2022arXiv220709164P/abstract","2022arXiv220709164P")</f>
        <v>2022arXiv220709164P</v>
      </c>
      <c r="F640" s="1" t="s">
        <v>892</v>
      </c>
      <c r="G640" s="1" t="s">
        <v>72</v>
      </c>
      <c r="H640" s="1">
        <v>0.9925925</v>
      </c>
      <c r="I640" s="1" t="s">
        <v>836</v>
      </c>
    </row>
    <row r="641">
      <c r="A641" s="2" t="str">
        <f>HYPERLINK("https://ui.adsabs.harvard.edu/abs/2023PhRvB.107a4417Y/abstract","2023PhRvB.107a4417Y")</f>
        <v>2023PhRvB.107a4417Y</v>
      </c>
      <c r="B641" s="2" t="str">
        <f>HYPERLINK("https://ui.adsabs.harvard.edu/abs/2022arXiv220805115Y/abstract","2022arXiv220805115Y")</f>
        <v>2022arXiv220805115Y</v>
      </c>
      <c r="C641" s="1" t="s">
        <v>70</v>
      </c>
      <c r="E641" s="2" t="str">
        <f>HYPERLINK("https://ui.adsabs.harvard.edu/abs/2022arXiv220805115Y/abstract","2022arXiv220805115Y")</f>
        <v>2022arXiv220805115Y</v>
      </c>
      <c r="F641" s="1" t="s">
        <v>893</v>
      </c>
      <c r="G641" s="1" t="s">
        <v>72</v>
      </c>
      <c r="H641" s="1">
        <v>0.9925925</v>
      </c>
      <c r="I641" s="1" t="s">
        <v>836</v>
      </c>
    </row>
    <row r="642">
      <c r="A642" s="2" t="str">
        <f>HYPERLINK("https://ui.adsabs.harvard.edu/abs/2023PhRvB.107c5123D/abstract","2023PhRvB.107c5123D")</f>
        <v>2023PhRvB.107c5123D</v>
      </c>
      <c r="B642" s="2" t="str">
        <f>HYPERLINK("https://ui.adsabs.harvard.edu/abs/2022arXiv220713521D/abstract","2022arXiv220713521D")</f>
        <v>2022arXiv220713521D</v>
      </c>
      <c r="C642" s="1" t="s">
        <v>70</v>
      </c>
      <c r="E642" s="2" t="str">
        <f>HYPERLINK("https://ui.adsabs.harvard.edu/abs/2022arXiv220713521D/abstract","2022arXiv220713521D")</f>
        <v>2022arXiv220713521D</v>
      </c>
      <c r="F642" s="1" t="s">
        <v>894</v>
      </c>
      <c r="G642" s="1" t="s">
        <v>72</v>
      </c>
      <c r="H642" s="1">
        <v>0.9925925</v>
      </c>
      <c r="I642" s="1" t="s">
        <v>836</v>
      </c>
    </row>
    <row r="643">
      <c r="A643" s="2" t="str">
        <f>HYPERLINK("https://ui.adsabs.harvard.edu/abs/2023PhRvB.107c5417P/abstract","2023PhRvB.107c5417P")</f>
        <v>2023PhRvB.107c5417P</v>
      </c>
      <c r="B643" s="2" t="str">
        <f>HYPERLINK("https://ui.adsabs.harvard.edu/abs/2022arXiv220308955P/abstract","2022arXiv220308955P")</f>
        <v>2022arXiv220308955P</v>
      </c>
      <c r="C643" s="1" t="s">
        <v>70</v>
      </c>
      <c r="E643" s="2" t="str">
        <f>HYPERLINK("https://ui.adsabs.harvard.edu/abs/2022arXiv220308955P/abstract","2022arXiv220308955P")</f>
        <v>2022arXiv220308955P</v>
      </c>
      <c r="F643" s="1" t="s">
        <v>895</v>
      </c>
      <c r="G643" s="1" t="s">
        <v>72</v>
      </c>
      <c r="H643" s="1">
        <v>0.9925925</v>
      </c>
      <c r="I643" s="1" t="s">
        <v>836</v>
      </c>
    </row>
    <row r="644">
      <c r="A644" s="2" t="str">
        <f>HYPERLINK("https://ui.adsabs.harvard.edu/abs/2023PhRvC.107a4001S/abstract","2023PhRvC.107a4001S")</f>
        <v>2023PhRvC.107a4001S</v>
      </c>
      <c r="B644" s="2" t="str">
        <f>HYPERLINK("https://ui.adsabs.harvard.edu/abs/2022arXiv220608250S/abstract","2022arXiv220608250S")</f>
        <v>2022arXiv220608250S</v>
      </c>
      <c r="C644" s="1" t="s">
        <v>70</v>
      </c>
      <c r="E644" s="2" t="str">
        <f>HYPERLINK("https://ui.adsabs.harvard.edu/abs/2022arXiv220608250S/abstract","2022arXiv220608250S")</f>
        <v>2022arXiv220608250S</v>
      </c>
      <c r="F644" s="1" t="s">
        <v>896</v>
      </c>
      <c r="G644" s="1" t="s">
        <v>72</v>
      </c>
      <c r="H644" s="1">
        <v>0.9925925</v>
      </c>
      <c r="I644" s="1" t="s">
        <v>836</v>
      </c>
    </row>
    <row r="645">
      <c r="A645" s="2" t="str">
        <f>HYPERLINK("https://ui.adsabs.harvard.edu/abs/2023PhRvC.107a4306H/abstract","2023PhRvC.107a4306H")</f>
        <v>2023PhRvC.107a4306H</v>
      </c>
      <c r="B645" s="2" t="str">
        <f>HYPERLINK("https://ui.adsabs.harvard.edu/abs/2022arXiv221010674H/abstract","2022arXiv221010674H")</f>
        <v>2022arXiv221010674H</v>
      </c>
      <c r="C645" s="1" t="s">
        <v>70</v>
      </c>
      <c r="E645" s="2" t="str">
        <f>HYPERLINK("https://ui.adsabs.harvard.edu/abs/2022arXiv221010674H/abstract","2022arXiv221010674H")</f>
        <v>2022arXiv221010674H</v>
      </c>
      <c r="F645" s="1" t="s">
        <v>897</v>
      </c>
      <c r="G645" s="1" t="s">
        <v>72</v>
      </c>
      <c r="H645" s="1">
        <v>0.9925925</v>
      </c>
      <c r="I645" s="1" t="s">
        <v>836</v>
      </c>
    </row>
    <row r="646">
      <c r="A646" s="2" t="str">
        <f>HYPERLINK("https://ui.adsabs.harvard.edu/abs/2023PhRvC.107a4315H/abstract","2023PhRvC.107a4315H")</f>
        <v>2023PhRvC.107a4315H</v>
      </c>
      <c r="B646" s="2" t="str">
        <f>HYPERLINK("https://ui.adsabs.harvard.edu/abs/2022arXiv220810568H/abstract","2022arXiv220810568H")</f>
        <v>2022arXiv220810568H</v>
      </c>
      <c r="C646" s="1" t="s">
        <v>70</v>
      </c>
      <c r="E646" s="2" t="str">
        <f>HYPERLINK("https://ui.adsabs.harvard.edu/abs/2022arXiv220810568H/abstract","2022arXiv220810568H")</f>
        <v>2022arXiv220810568H</v>
      </c>
      <c r="F646" s="1" t="s">
        <v>898</v>
      </c>
      <c r="G646" s="1" t="s">
        <v>72</v>
      </c>
      <c r="H646" s="1">
        <v>0.9925925</v>
      </c>
      <c r="I646" s="1" t="s">
        <v>836</v>
      </c>
    </row>
    <row r="647">
      <c r="A647" s="2" t="str">
        <f>HYPERLINK("https://ui.adsabs.harvard.edu/abs/2023PhRvD.107a4018L/abstract","2023PhRvD.107a4018L")</f>
        <v>2023PhRvD.107a4018L</v>
      </c>
      <c r="B647" s="2" t="str">
        <f>HYPERLINK("https://ui.adsabs.harvard.edu/abs/2022arXiv221011246L/abstract","2022arXiv221011246L")</f>
        <v>2022arXiv221011246L</v>
      </c>
      <c r="C647" s="1" t="s">
        <v>70</v>
      </c>
      <c r="E647" s="2" t="str">
        <f>HYPERLINK("https://ui.adsabs.harvard.edu/abs/2022arXiv221011246L/abstract","2022arXiv221011246L")</f>
        <v>2022arXiv221011246L</v>
      </c>
      <c r="F647" s="1" t="s">
        <v>899</v>
      </c>
      <c r="G647" s="1" t="s">
        <v>72</v>
      </c>
      <c r="H647" s="1">
        <v>0.9925925</v>
      </c>
      <c r="I647" s="1" t="s">
        <v>836</v>
      </c>
    </row>
    <row r="648">
      <c r="A648" s="2" t="str">
        <f>HYPERLINK("https://ui.adsabs.harvard.edu/abs/2023PhRvD.107a4021C/abstract","2023PhRvD.107a4021C")</f>
        <v>2023PhRvD.107a4021C</v>
      </c>
      <c r="B648" s="2" t="str">
        <f>HYPERLINK("https://ui.adsabs.harvard.edu/abs/2022arXiv221009794C/abstract","2022arXiv221009794C")</f>
        <v>2022arXiv221009794C</v>
      </c>
      <c r="C648" s="1" t="s">
        <v>70</v>
      </c>
      <c r="E648" s="2" t="str">
        <f>HYPERLINK("https://ui.adsabs.harvard.edu/abs/2022arXiv221009794C/abstract","2022arXiv221009794C")</f>
        <v>2022arXiv221009794C</v>
      </c>
      <c r="F648" s="1" t="s">
        <v>900</v>
      </c>
      <c r="G648" s="1" t="s">
        <v>72</v>
      </c>
      <c r="H648" s="1">
        <v>0.9925925</v>
      </c>
      <c r="I648" s="1" t="s">
        <v>836</v>
      </c>
    </row>
    <row r="649">
      <c r="A649" s="2" t="str">
        <f>HYPERLINK("https://ui.adsabs.harvard.edu/abs/2023PhRvD.107a6011I/abstract","2023PhRvD.107a6011I")</f>
        <v>2023PhRvD.107a6011I</v>
      </c>
      <c r="E649" s="2" t="str">
        <f>HYPERLINK("https://ui.adsabs.harvard.edu/abs/2022arXiv221015213I/abstract","2022arXiv221015213I")</f>
        <v>2022arXiv221015213I</v>
      </c>
      <c r="F649" s="1" t="s">
        <v>901</v>
      </c>
      <c r="G649" s="1" t="s">
        <v>72</v>
      </c>
      <c r="H649" s="1">
        <v>0.9925925</v>
      </c>
      <c r="I649" s="1" t="s">
        <v>836</v>
      </c>
    </row>
    <row r="650">
      <c r="A650" s="2" t="str">
        <f>HYPERLINK("https://ui.adsabs.harvard.edu/abs/2023PhRvD.107a6012A/abstract","2023PhRvD.107a6012A")</f>
        <v>2023PhRvD.107a6012A</v>
      </c>
      <c r="B650" s="2" t="str">
        <f>HYPERLINK("https://ui.adsabs.harvard.edu/abs/2022arXiv220913441A/abstract","2022arXiv220913441A")</f>
        <v>2022arXiv220913441A</v>
      </c>
      <c r="C650" s="1" t="s">
        <v>70</v>
      </c>
      <c r="E650" s="2" t="str">
        <f>HYPERLINK("https://ui.adsabs.harvard.edu/abs/2022arXiv220913441A/abstract","2022arXiv220913441A")</f>
        <v>2022arXiv220913441A</v>
      </c>
      <c r="F650" s="1" t="s">
        <v>902</v>
      </c>
      <c r="G650" s="1" t="s">
        <v>72</v>
      </c>
      <c r="H650" s="1">
        <v>0.9925925</v>
      </c>
      <c r="I650" s="1" t="s">
        <v>836</v>
      </c>
    </row>
    <row r="651">
      <c r="A651" s="2" t="str">
        <f>HYPERLINK("https://ui.adsabs.harvard.edu/abs/2023PhRvD.107b2006S/abstract","2023PhRvD.107b2006S")</f>
        <v>2023PhRvD.107b2006S</v>
      </c>
      <c r="B651" s="2" t="str">
        <f>HYPERLINK("https://ui.adsabs.harvard.edu/abs/2022arXiv220914898S/abstract","2022arXiv220914898S")</f>
        <v>2022arXiv220914898S</v>
      </c>
      <c r="C651" s="1" t="s">
        <v>70</v>
      </c>
      <c r="E651" s="2" t="str">
        <f>HYPERLINK("https://ui.adsabs.harvard.edu/abs/2022arXiv220914898S/abstract","2022arXiv220914898S")</f>
        <v>2022arXiv220914898S</v>
      </c>
      <c r="F651" s="1" t="s">
        <v>903</v>
      </c>
      <c r="G651" s="1" t="s">
        <v>72</v>
      </c>
      <c r="H651" s="1">
        <v>0.9925925</v>
      </c>
      <c r="I651" s="1" t="s">
        <v>836</v>
      </c>
    </row>
    <row r="652">
      <c r="A652" s="2" t="str">
        <f>HYPERLINK("https://ui.adsabs.harvard.edu/abs/2023PhRvD.107b4020A/abstract","2023PhRvD.107b4020A")</f>
        <v>2023PhRvD.107b4020A</v>
      </c>
      <c r="B652" s="2" t="str">
        <f>HYPERLINK("https://ui.adsabs.harvard.edu/abs/2022arXiv220911594A/abstract","2022arXiv220911594A")</f>
        <v>2022arXiv220911594A</v>
      </c>
      <c r="C652" s="1" t="s">
        <v>70</v>
      </c>
      <c r="E652" s="2" t="str">
        <f>HYPERLINK("https://ui.adsabs.harvard.edu/abs/2022arXiv220911594A/abstract","2022arXiv220911594A")</f>
        <v>2022arXiv220911594A</v>
      </c>
      <c r="F652" s="1" t="s">
        <v>904</v>
      </c>
      <c r="G652" s="1" t="s">
        <v>72</v>
      </c>
      <c r="H652" s="1">
        <v>0.9925925</v>
      </c>
      <c r="I652" s="1" t="s">
        <v>836</v>
      </c>
    </row>
    <row r="653">
      <c r="A653" s="2" t="str">
        <f>HYPERLINK("https://ui.adsabs.harvard.edu/abs/2023PhRvD.107b4023D/abstract","2023PhRvD.107b4023D")</f>
        <v>2023PhRvD.107b4023D</v>
      </c>
      <c r="B653" s="2" t="str">
        <f>HYPERLINK("https://ui.adsabs.harvard.edu/abs/2022arXiv220909324D/abstract","2022arXiv220909324D")</f>
        <v>2022arXiv220909324D</v>
      </c>
      <c r="C653" s="1" t="s">
        <v>70</v>
      </c>
      <c r="E653" s="2" t="str">
        <f>HYPERLINK("https://ui.adsabs.harvard.edu/abs/2022arXiv220909324D/abstract","2022arXiv220909324D")</f>
        <v>2022arXiv220909324D</v>
      </c>
      <c r="F653" s="1" t="s">
        <v>905</v>
      </c>
      <c r="G653" s="1" t="s">
        <v>72</v>
      </c>
      <c r="H653" s="1">
        <v>0.9925925</v>
      </c>
      <c r="I653" s="1" t="s">
        <v>836</v>
      </c>
    </row>
    <row r="654">
      <c r="A654" s="2" t="str">
        <f>HYPERLINK("https://ui.adsabs.harvard.edu/abs/2023PhRvD.107b5008F/abstract","2023PhRvD.107b5008F")</f>
        <v>2023PhRvD.107b5008F</v>
      </c>
      <c r="B654" s="2" t="str">
        <f>HYPERLINK("https://ui.adsabs.harvard.edu/abs/2022arXiv221202776F/abstract","2022arXiv221202776F")</f>
        <v>2022arXiv221202776F</v>
      </c>
      <c r="C654" s="1" t="s">
        <v>70</v>
      </c>
      <c r="E654" s="2" t="str">
        <f>HYPERLINK("https://ui.adsabs.harvard.edu/abs/2022arXiv221202776F/abstract","2022arXiv221202776F")</f>
        <v>2022arXiv221202776F</v>
      </c>
      <c r="F654" s="1" t="s">
        <v>906</v>
      </c>
      <c r="G654" s="1" t="s">
        <v>72</v>
      </c>
      <c r="H654" s="1">
        <v>0.9925925</v>
      </c>
      <c r="I654" s="1" t="s">
        <v>836</v>
      </c>
    </row>
    <row r="655">
      <c r="A655" s="2" t="str">
        <f>HYPERLINK("https://ui.adsabs.harvard.edu/abs/2023PhRvD.107b6017H/abstract","2023PhRvD.107b6017H")</f>
        <v>2023PhRvD.107b6017H</v>
      </c>
      <c r="B655" s="2" t="str">
        <f>HYPERLINK("https://ui.adsabs.harvard.edu/abs/2022arXiv220305916H/abstract","2022arXiv220305916H")</f>
        <v>2022arXiv220305916H</v>
      </c>
      <c r="C655" s="1" t="s">
        <v>70</v>
      </c>
      <c r="E655" s="2" t="str">
        <f>HYPERLINK("https://ui.adsabs.harvard.edu/abs/2022arXiv220305916H/abstract","2022arXiv220305916H")</f>
        <v>2022arXiv220305916H</v>
      </c>
      <c r="F655" s="1" t="s">
        <v>907</v>
      </c>
      <c r="G655" s="1" t="s">
        <v>72</v>
      </c>
      <c r="H655" s="1">
        <v>0.9925925</v>
      </c>
      <c r="I655" s="1" t="s">
        <v>836</v>
      </c>
    </row>
    <row r="656">
      <c r="A656" s="2" t="str">
        <f>HYPERLINK("https://ui.adsabs.harvard.edu/abs/2023PhRvD.107b6018K/abstract","2023PhRvD.107b6018K")</f>
        <v>2023PhRvD.107b6018K</v>
      </c>
      <c r="B656" s="2" t="str">
        <f>HYPERLINK("https://ui.adsabs.harvard.edu/abs/2022arXiv221114021K/abstract","2022arXiv221114021K")</f>
        <v>2022arXiv221114021K</v>
      </c>
      <c r="C656" s="1" t="s">
        <v>70</v>
      </c>
      <c r="E656" s="2" t="str">
        <f>HYPERLINK("https://ui.adsabs.harvard.edu/abs/2022arXiv221114021K/abstract","2022arXiv221114021K")</f>
        <v>2022arXiv221114021K</v>
      </c>
      <c r="F656" s="1" t="s">
        <v>908</v>
      </c>
      <c r="G656" s="1" t="s">
        <v>72</v>
      </c>
      <c r="H656" s="1">
        <v>0.9925925</v>
      </c>
      <c r="I656" s="1" t="s">
        <v>836</v>
      </c>
    </row>
    <row r="657">
      <c r="A657" s="2" t="str">
        <f>HYPERLINK("https://ui.adsabs.harvard.edu/abs/2023PhRvE.107a4125M/abstract","2023PhRvE.107a4125M")</f>
        <v>2023PhRvE.107a4125M</v>
      </c>
      <c r="B657" s="2" t="str">
        <f>HYPERLINK("https://ui.adsabs.harvard.edu/abs/2022arXiv220213160M/abstract","2022arXiv220213160M")</f>
        <v>2022arXiv220213160M</v>
      </c>
      <c r="C657" s="1" t="s">
        <v>70</v>
      </c>
      <c r="E657" s="2" t="str">
        <f>HYPERLINK("https://ui.adsabs.harvard.edu/abs/2022arXiv220213160M/abstract","2022arXiv220213160M")</f>
        <v>2022arXiv220213160M</v>
      </c>
      <c r="F657" s="1" t="s">
        <v>909</v>
      </c>
      <c r="G657" s="1" t="s">
        <v>72</v>
      </c>
      <c r="H657" s="1">
        <v>0.9925925</v>
      </c>
      <c r="I657" s="1" t="s">
        <v>836</v>
      </c>
    </row>
    <row r="658">
      <c r="A658" s="2" t="str">
        <f>HYPERLINK("https://ui.adsabs.harvard.edu/abs/2023PhRvE.107a4210K/abstract","2023PhRvE.107a4210K")</f>
        <v>2023PhRvE.107a4210K</v>
      </c>
      <c r="B658" s="2" t="str">
        <f>HYPERLINK("https://ui.adsabs.harvard.edu/abs/2022arXiv220810237K/abstract","2022arXiv220810237K")</f>
        <v>2022arXiv220810237K</v>
      </c>
      <c r="C658" s="1" t="s">
        <v>70</v>
      </c>
      <c r="E658" s="2" t="str">
        <f>HYPERLINK("https://ui.adsabs.harvard.edu/abs/2022arXiv220810237K/abstract","2022arXiv220810237K")</f>
        <v>2022arXiv220810237K</v>
      </c>
      <c r="F658" s="1" t="s">
        <v>910</v>
      </c>
      <c r="G658" s="1" t="s">
        <v>72</v>
      </c>
      <c r="H658" s="1">
        <v>0.9925925</v>
      </c>
      <c r="I658" s="1" t="s">
        <v>836</v>
      </c>
    </row>
    <row r="659">
      <c r="A659" s="2" t="str">
        <f>HYPERLINK("https://ui.adsabs.harvard.edu/abs/2023PhRvE.107a5105L/abstract","2023PhRvE.107a5105L")</f>
        <v>2023PhRvE.107a5105L</v>
      </c>
      <c r="E659" s="2" t="str">
        <f>HYPERLINK("https://ui.adsabs.harvard.edu/abs/2023arXiv230109798L/abstract","2023arXiv230109798L")</f>
        <v>2023arXiv230109798L</v>
      </c>
      <c r="F659" s="1" t="s">
        <v>911</v>
      </c>
      <c r="G659" s="1" t="s">
        <v>72</v>
      </c>
      <c r="H659" s="1">
        <v>0.9925925</v>
      </c>
      <c r="I659" s="1" t="s">
        <v>836</v>
      </c>
    </row>
    <row r="660">
      <c r="A660" s="2" t="str">
        <f>HYPERLINK("https://ui.adsabs.harvard.edu/abs/2023PhRvF...8a4103G/abstract","2023PhRvF...8a4103G")</f>
        <v>2023PhRvF...8a4103G</v>
      </c>
      <c r="B660" s="2" t="str">
        <f>HYPERLINK("https://ui.adsabs.harvard.edu/abs/2022arXiv221010894G/abstract","2022arXiv221010894G")</f>
        <v>2022arXiv221010894G</v>
      </c>
      <c r="C660" s="1" t="s">
        <v>70</v>
      </c>
      <c r="E660" s="2" t="str">
        <f>HYPERLINK("https://ui.adsabs.harvard.edu/abs/2022arXiv221010894G/abstract","2022arXiv221010894G")</f>
        <v>2022arXiv221010894G</v>
      </c>
      <c r="F660" s="1" t="s">
        <v>912</v>
      </c>
      <c r="G660" s="1" t="s">
        <v>72</v>
      </c>
      <c r="H660" s="1">
        <v>0.9925925</v>
      </c>
      <c r="I660" s="1" t="s">
        <v>836</v>
      </c>
    </row>
    <row r="661">
      <c r="A661" s="2" t="str">
        <f>HYPERLINK("https://ui.adsabs.harvard.edu/abs/2023PhRvF...8a4302T/abstract","2023PhRvF...8a4302T")</f>
        <v>2023PhRvF...8a4302T</v>
      </c>
      <c r="B661" s="2" t="str">
        <f>HYPERLINK("https://ui.adsabs.harvard.edu/abs/2023arXiv230101046T/abstract","2023arXiv230101046T")</f>
        <v>2023arXiv230101046T</v>
      </c>
      <c r="C661" s="1" t="s">
        <v>70</v>
      </c>
      <c r="E661" s="2" t="str">
        <f>HYPERLINK("https://ui.adsabs.harvard.edu/abs/2023arXiv230101046T/abstract","2023arXiv230101046T")</f>
        <v>2023arXiv230101046T</v>
      </c>
      <c r="F661" s="1" t="s">
        <v>913</v>
      </c>
      <c r="G661" s="1" t="s">
        <v>72</v>
      </c>
      <c r="H661" s="1">
        <v>0.9925925</v>
      </c>
      <c r="I661" s="1" t="s">
        <v>836</v>
      </c>
    </row>
    <row r="662">
      <c r="A662" s="2" t="str">
        <f>HYPERLINK("https://ui.adsabs.harvard.edu/abs/2023PhRvR...5a3035X/abstract","2023PhRvR...5a3035X")</f>
        <v>2023PhRvR...5a3035X</v>
      </c>
      <c r="B662" s="2" t="str">
        <f>HYPERLINK("https://ui.adsabs.harvard.edu/abs/2022arXiv220316486X/abstract","2022arXiv220316486X")</f>
        <v>2022arXiv220316486X</v>
      </c>
      <c r="C662" s="1" t="s">
        <v>70</v>
      </c>
      <c r="E662" s="2" t="str">
        <f>HYPERLINK("https://ui.adsabs.harvard.edu/abs/2022arXiv220316486X/abstract","2022arXiv220316486X")</f>
        <v>2022arXiv220316486X</v>
      </c>
      <c r="F662" s="1" t="s">
        <v>914</v>
      </c>
      <c r="G662" s="1" t="s">
        <v>72</v>
      </c>
      <c r="H662" s="1">
        <v>0.9925925</v>
      </c>
      <c r="I662" s="1" t="s">
        <v>836</v>
      </c>
    </row>
    <row r="663">
      <c r="A663" s="2" t="str">
        <f>HYPERLINK("https://ui.adsabs.harvard.edu/abs/2023Entrp..25..175M/abstract","2023Entrp..25..175M")</f>
        <v>2023Entrp..25..175M</v>
      </c>
      <c r="B663" s="2" t="str">
        <f>HYPERLINK("https://ui.adsabs.harvard.edu/abs/2022arXiv221013447M/abstract","2022arXiv221013447M")</f>
        <v>2022arXiv221013447M</v>
      </c>
      <c r="C663" s="1" t="s">
        <v>70</v>
      </c>
      <c r="E663" s="2" t="str">
        <f>HYPERLINK("https://ui.adsabs.harvard.edu/abs/2022arXiv221013447M/abstract","2022arXiv221013447M")</f>
        <v>2022arXiv221013447M</v>
      </c>
      <c r="F663" s="1" t="s">
        <v>915</v>
      </c>
      <c r="G663" s="1" t="s">
        <v>72</v>
      </c>
      <c r="H663" s="1">
        <v>0.9925925</v>
      </c>
      <c r="I663" s="1" t="s">
        <v>836</v>
      </c>
    </row>
    <row r="664">
      <c r="A664" s="2" t="str">
        <f>HYPERLINK("https://ui.adsabs.harvard.edu/abs/2023Entrp..25..190Y/abstract","2023Entrp..25..190Y")</f>
        <v>2023Entrp..25..190Y</v>
      </c>
      <c r="B664" s="2" t="str">
        <f>HYPERLINK("https://ui.adsabs.harvard.edu/abs/2022arXiv221211807Y/abstract","2022arXiv221211807Y")</f>
        <v>2022arXiv221211807Y</v>
      </c>
      <c r="C664" s="1" t="s">
        <v>70</v>
      </c>
      <c r="E664" s="2" t="str">
        <f>HYPERLINK("https://ui.adsabs.harvard.edu/abs/2022arXiv221211807Y/abstract","2022arXiv221211807Y")</f>
        <v>2022arXiv221211807Y</v>
      </c>
      <c r="F664" s="1" t="s">
        <v>916</v>
      </c>
      <c r="G664" s="1" t="s">
        <v>72</v>
      </c>
      <c r="H664" s="1">
        <v>0.9925925</v>
      </c>
      <c r="I664" s="1" t="s">
        <v>836</v>
      </c>
    </row>
    <row r="665">
      <c r="A665" s="2" t="str">
        <f>HYPERLINK("https://ui.adsabs.harvard.edu/abs/2023FrCh...1096014W/abstract","2023FrCh...1096014W")</f>
        <v>2023FrCh...1096014W</v>
      </c>
      <c r="B665" s="2" t="str">
        <f>HYPERLINK("https://ui.adsabs.harvard.edu/abs/2022arXiv221107326W/abstract","2022arXiv221107326W")</f>
        <v>2022arXiv221107326W</v>
      </c>
      <c r="C665" s="1" t="s">
        <v>70</v>
      </c>
      <c r="E665" s="2" t="str">
        <f>HYPERLINK("https://ui.adsabs.harvard.edu/abs/2022arXiv221107326W/abstract","2022arXiv221107326W")</f>
        <v>2022arXiv221107326W</v>
      </c>
      <c r="F665" s="1" t="s">
        <v>917</v>
      </c>
      <c r="G665" s="1" t="s">
        <v>72</v>
      </c>
      <c r="H665" s="1">
        <v>0.9925925</v>
      </c>
      <c r="I665" s="1" t="s">
        <v>836</v>
      </c>
    </row>
    <row r="666">
      <c r="A666" s="2" t="str">
        <f>HYPERLINK("https://ui.adsabs.harvard.edu/abs/2017Quant...1....1M/abstract","2017Quant...1....1M")</f>
        <v>2017Quant...1....1M</v>
      </c>
      <c r="B666" s="2" t="str">
        <f>HYPERLINK("https://ui.adsabs.harvard.edu/abs/2016arXiv160909584M/abstract","2016arXiv160909584M")</f>
        <v>2016arXiv160909584M</v>
      </c>
      <c r="C666" s="1" t="s">
        <v>70</v>
      </c>
      <c r="E666" s="2" t="str">
        <f>HYPERLINK("https://ui.adsabs.harvard.edu/abs/2016arXiv160909584M/abstract","2016arXiv160909584M")</f>
        <v>2016arXiv160909584M</v>
      </c>
      <c r="F666" s="1" t="s">
        <v>918</v>
      </c>
      <c r="G666" s="1" t="s">
        <v>72</v>
      </c>
      <c r="H666" s="1">
        <v>0.9925925</v>
      </c>
      <c r="I666" s="1" t="s">
        <v>836</v>
      </c>
    </row>
    <row r="667">
      <c r="A667" s="2" t="str">
        <f>HYPERLINK("https://ui.adsabs.harvard.edu/abs/2018Quant...2...56C/abstract","2018Quant...2...56C")</f>
        <v>2018Quant...2...56C</v>
      </c>
      <c r="B667" s="2" t="str">
        <f>HYPERLINK("https://ui.adsabs.harvard.edu/abs/2017arXiv170902214C/abstract","2017arXiv170902214C")</f>
        <v>2017arXiv170902214C</v>
      </c>
      <c r="C667" s="1" t="s">
        <v>70</v>
      </c>
      <c r="E667" s="2" t="str">
        <f>HYPERLINK("https://ui.adsabs.harvard.edu/abs/2017arXiv170902214C/abstract","2017arXiv170902214C")</f>
        <v>2017arXiv170902214C</v>
      </c>
      <c r="F667" s="1" t="s">
        <v>919</v>
      </c>
      <c r="G667" s="1" t="s">
        <v>72</v>
      </c>
      <c r="H667" s="1">
        <v>0.9925925</v>
      </c>
      <c r="I667" s="1" t="s">
        <v>836</v>
      </c>
    </row>
    <row r="668">
      <c r="A668" s="2" t="str">
        <f>HYPERLINK("https://ui.adsabs.harvard.edu/abs/2018Quant...2...59S/abstract","2018Quant...2...59S")</f>
        <v>2018Quant...2...59S</v>
      </c>
      <c r="B668" s="2" t="str">
        <f>HYPERLINK("https://ui.adsabs.harvard.edu/abs/2018arXiv180104602S/abstract","2018arXiv180104602S")</f>
        <v>2018arXiv180104602S</v>
      </c>
      <c r="C668" s="1" t="s">
        <v>70</v>
      </c>
      <c r="E668" s="2" t="str">
        <f>HYPERLINK("https://ui.adsabs.harvard.edu/abs/2018arXiv180104602S/abstract","2018arXiv180104602S")</f>
        <v>2018arXiv180104602S</v>
      </c>
      <c r="F668" s="1" t="s">
        <v>920</v>
      </c>
      <c r="G668" s="1" t="s">
        <v>72</v>
      </c>
      <c r="H668" s="1">
        <v>0.9925925</v>
      </c>
      <c r="I668" s="1" t="s">
        <v>836</v>
      </c>
    </row>
    <row r="669">
      <c r="A669" s="2" t="str">
        <f>HYPERLINK("https://ui.adsabs.harvard.edu/abs/2018Quant...2...75M/abstract","2018Quant...2...75M")</f>
        <v>2018Quant...2...75M</v>
      </c>
      <c r="B669" s="2" t="str">
        <f>HYPERLINK("https://ui.adsabs.harvard.edu/abs/2017arXiv171003063M/abstract","2017arXiv171003063M")</f>
        <v>2017arXiv171003063M</v>
      </c>
      <c r="C669" s="1" t="s">
        <v>70</v>
      </c>
      <c r="E669" s="2" t="str">
        <f>HYPERLINK("https://ui.adsabs.harvard.edu/abs/2017arXiv171003063M/abstract","2017arXiv171003063M")</f>
        <v>2017arXiv171003063M</v>
      </c>
      <c r="F669" s="1" t="s">
        <v>921</v>
      </c>
      <c r="G669" s="1" t="s">
        <v>72</v>
      </c>
      <c r="H669" s="1">
        <v>0.9925925</v>
      </c>
      <c r="I669" s="1" t="s">
        <v>836</v>
      </c>
    </row>
    <row r="670">
      <c r="A670" s="2" t="str">
        <f>HYPERLINK("https://ui.adsabs.harvard.edu/abs/2018Quant...2...78H/abstract","2018Quant...2...78H")</f>
        <v>2018Quant...2...78H</v>
      </c>
      <c r="B670" s="2" t="str">
        <f>HYPERLINK("https://ui.adsabs.harvard.edu/abs/2018arXiv180210124H/abstract","2018arXiv180210124H")</f>
        <v>2018arXiv180210124H</v>
      </c>
      <c r="C670" s="1" t="s">
        <v>70</v>
      </c>
      <c r="E670" s="2" t="str">
        <f>HYPERLINK("https://ui.adsabs.harvard.edu/abs/2018arXiv180210124H/abstract","2018arXiv180210124H")</f>
        <v>2018arXiv180210124H</v>
      </c>
      <c r="F670" s="1" t="s">
        <v>922</v>
      </c>
      <c r="G670" s="1" t="s">
        <v>72</v>
      </c>
      <c r="H670" s="1">
        <v>0.9925925</v>
      </c>
      <c r="I670" s="1" t="s">
        <v>836</v>
      </c>
    </row>
    <row r="671">
      <c r="A671" s="2" t="str">
        <f>HYPERLINK("https://ui.adsabs.harvard.edu/abs/2018Quant...2...89G/abstract","2018Quant...2...89G")</f>
        <v>2018Quant...2...89G</v>
      </c>
      <c r="B671" s="2" t="str">
        <f>HYPERLINK("https://ui.adsabs.harvard.edu/abs/2017arXiv170404033G/abstract","2017arXiv170404033G")</f>
        <v>2017arXiv170404033G</v>
      </c>
      <c r="C671" s="1" t="s">
        <v>70</v>
      </c>
      <c r="E671" s="2" t="str">
        <f>HYPERLINK("https://ui.adsabs.harvard.edu/abs/2017arXiv170404033G/abstract","2017arXiv170404033G")</f>
        <v>2017arXiv170404033G</v>
      </c>
      <c r="F671" s="1" t="s">
        <v>923</v>
      </c>
      <c r="G671" s="1" t="s">
        <v>72</v>
      </c>
      <c r="H671" s="1">
        <v>0.9925925</v>
      </c>
      <c r="I671" s="1" t="s">
        <v>836</v>
      </c>
    </row>
    <row r="672">
      <c r="A672" s="2" t="str">
        <f>HYPERLINK("https://ui.adsabs.harvard.edu/abs/2021Quant...5..481A/abstract","2021Quant...5..481A")</f>
        <v>2021Quant...5..481A</v>
      </c>
      <c r="B672" s="2" t="str">
        <f>HYPERLINK("https://ui.adsabs.harvard.edu/abs/2020arXiv201206283A/abstract","2020arXiv201206283A")</f>
        <v>2020arXiv201206283A</v>
      </c>
      <c r="C672" s="1" t="s">
        <v>70</v>
      </c>
      <c r="E672" s="2" t="str">
        <f>HYPERLINK("https://ui.adsabs.harvard.edu/abs/2020arXiv201206283A/abstract","2020arXiv201206283A")</f>
        <v>2020arXiv201206283A</v>
      </c>
      <c r="F672" s="1" t="s">
        <v>924</v>
      </c>
      <c r="G672" s="1" t="s">
        <v>72</v>
      </c>
      <c r="H672" s="1">
        <v>0.9925925</v>
      </c>
      <c r="I672" s="1" t="s">
        <v>836</v>
      </c>
    </row>
    <row r="673">
      <c r="A673" s="2" t="str">
        <f>HYPERLINK("https://ui.adsabs.harvard.edu/abs/2021Quant...5..483W/abstract","2021Quant...5..483W")</f>
        <v>2021Quant...5..483W</v>
      </c>
      <c r="B673" s="2" t="str">
        <f>HYPERLINK("https://ui.adsabs.harvard.edu/abs/2020arXiv200602336W/abstract","2020arXiv200602336W")</f>
        <v>2020arXiv200602336W</v>
      </c>
      <c r="C673" s="1" t="s">
        <v>70</v>
      </c>
      <c r="E673" s="2" t="str">
        <f>HYPERLINK("https://ui.adsabs.harvard.edu/abs/2020arXiv200602336W/abstract","2020arXiv200602336W")</f>
        <v>2020arXiv200602336W</v>
      </c>
      <c r="F673" s="1" t="s">
        <v>925</v>
      </c>
      <c r="G673" s="1" t="s">
        <v>72</v>
      </c>
      <c r="H673" s="1">
        <v>0.9925925</v>
      </c>
      <c r="I673" s="1" t="s">
        <v>836</v>
      </c>
    </row>
    <row r="674">
      <c r="A674" s="2" t="str">
        <f>HYPERLINK("https://ui.adsabs.harvard.edu/abs/2021Quant...5..484C/abstract","2021Quant...5..484C")</f>
        <v>2021Quant...5..484C</v>
      </c>
      <c r="B674" s="2" t="str">
        <f>HYPERLINK("https://ui.adsabs.harvard.edu/abs/2020arXiv201005853C/abstract","2020arXiv201005853C")</f>
        <v>2020arXiv201005853C</v>
      </c>
      <c r="C674" s="1" t="s">
        <v>70</v>
      </c>
      <c r="E674" s="2" t="str">
        <f>HYPERLINK("https://ui.adsabs.harvard.edu/abs/2020arXiv201005853C/abstract","2020arXiv201005853C")</f>
        <v>2020arXiv201005853C</v>
      </c>
      <c r="F674" s="1" t="s">
        <v>926</v>
      </c>
      <c r="G674" s="1" t="s">
        <v>72</v>
      </c>
      <c r="H674" s="1">
        <v>0.9925925</v>
      </c>
      <c r="I674" s="1" t="s">
        <v>836</v>
      </c>
    </row>
    <row r="675">
      <c r="A675" s="2" t="str">
        <f>HYPERLINK("https://ui.adsabs.harvard.edu/abs/2021Quant...5..487P/abstract","2021Quant...5..487P")</f>
        <v>2021Quant...5..487P</v>
      </c>
      <c r="B675" s="2" t="str">
        <f>HYPERLINK("https://ui.adsabs.harvard.edu/abs/2020arXiv201211366P/abstract","2020arXiv201211366P")</f>
        <v>2020arXiv201211366P</v>
      </c>
      <c r="C675" s="1" t="s">
        <v>70</v>
      </c>
      <c r="E675" s="2" t="str">
        <f>HYPERLINK("https://ui.adsabs.harvard.edu/abs/2020arXiv201211366P/abstract","2020arXiv201211366P")</f>
        <v>2020arXiv201211366P</v>
      </c>
      <c r="F675" s="1" t="s">
        <v>927</v>
      </c>
      <c r="G675" s="1" t="s">
        <v>72</v>
      </c>
      <c r="H675" s="1">
        <v>0.9925925</v>
      </c>
      <c r="I675" s="1" t="s">
        <v>836</v>
      </c>
    </row>
    <row r="676">
      <c r="A676" s="2" t="str">
        <f>HYPERLINK("https://ui.adsabs.harvard.edu/abs/2021Quant...5..488G/abstract","2021Quant...5..488G")</f>
        <v>2021Quant...5..488G</v>
      </c>
      <c r="B676" s="2" t="str">
        <f>HYPERLINK("https://ui.adsabs.harvard.edu/abs/2020arXiv201200717G/abstract","2020arXiv201200717G")</f>
        <v>2020arXiv201200717G</v>
      </c>
      <c r="C676" s="1" t="s">
        <v>70</v>
      </c>
      <c r="E676" s="2" t="str">
        <f>HYPERLINK("https://ui.adsabs.harvard.edu/abs/2020arXiv201200717G/abstract","2020arXiv201200717G")</f>
        <v>2020arXiv201200717G</v>
      </c>
      <c r="F676" s="1" t="s">
        <v>928</v>
      </c>
      <c r="G676" s="1" t="s">
        <v>72</v>
      </c>
      <c r="H676" s="1">
        <v>0.9925925</v>
      </c>
      <c r="I676" s="1" t="s">
        <v>836</v>
      </c>
    </row>
    <row r="677">
      <c r="A677" s="2" t="str">
        <f>HYPERLINK("https://ui.adsabs.harvard.edu/abs/2022Quant...6..675K/abstract","2022Quant...6..675K")</f>
        <v>2022Quant...6..675K</v>
      </c>
      <c r="B677" s="2" t="str">
        <f>HYPERLINK("https://ui.adsabs.harvard.edu/abs/2021arXiv210406981K/abstract","2021arXiv210406981K")</f>
        <v>2021arXiv210406981K</v>
      </c>
      <c r="C677" s="1" t="s">
        <v>70</v>
      </c>
      <c r="E677" s="2" t="str">
        <f>HYPERLINK("https://ui.adsabs.harvard.edu/abs/2021arXiv210406981K/abstract","2021arXiv210406981K")</f>
        <v>2021arXiv210406981K</v>
      </c>
      <c r="F677" s="1" t="s">
        <v>929</v>
      </c>
      <c r="G677" s="1" t="s">
        <v>72</v>
      </c>
      <c r="H677" s="1">
        <v>0.9925925</v>
      </c>
      <c r="I677" s="1" t="s">
        <v>836</v>
      </c>
    </row>
    <row r="678">
      <c r="A678" s="2" t="str">
        <f>HYPERLINK("https://ui.adsabs.harvard.edu/abs/2022Quant...6..680C/abstract","2022Quant...6..680C")</f>
        <v>2022Quant...6..680C</v>
      </c>
      <c r="B678" s="2" t="str">
        <f>HYPERLINK("https://ui.adsabs.harvard.edu/abs/2021arXiv211010732C/abstract","2021arXiv211010732C")</f>
        <v>2021arXiv211010732C</v>
      </c>
      <c r="C678" s="1" t="s">
        <v>70</v>
      </c>
      <c r="E678" s="2" t="str">
        <f>HYPERLINK("https://ui.adsabs.harvard.edu/abs/2021arXiv211010732C/abstract","2021arXiv211010732C")</f>
        <v>2021arXiv211010732C</v>
      </c>
      <c r="F678" s="1" t="s">
        <v>930</v>
      </c>
      <c r="G678" s="1" t="s">
        <v>72</v>
      </c>
      <c r="H678" s="1">
        <v>0.9925925</v>
      </c>
      <c r="I678" s="1" t="s">
        <v>836</v>
      </c>
    </row>
    <row r="679">
      <c r="A679" s="2" t="str">
        <f>HYPERLINK("https://ui.adsabs.harvard.edu/abs/2022Quant...6..684S/abstract","2022Quant...6..684S")</f>
        <v>2022Quant...6..684S</v>
      </c>
      <c r="B679" s="2" t="str">
        <f>HYPERLINK("https://ui.adsabs.harvard.edu/abs/2021arXiv210807248S/abstract","2021arXiv210807248S")</f>
        <v>2021arXiv210807248S</v>
      </c>
      <c r="C679" s="1" t="s">
        <v>70</v>
      </c>
      <c r="E679" s="2" t="str">
        <f>HYPERLINK("https://ui.adsabs.harvard.edu/abs/2021arXiv210807248S/abstract","2021arXiv210807248S")</f>
        <v>2021arXiv210807248S</v>
      </c>
      <c r="F679" s="1" t="s">
        <v>931</v>
      </c>
      <c r="G679" s="1" t="s">
        <v>72</v>
      </c>
      <c r="H679" s="1">
        <v>0.9925925</v>
      </c>
      <c r="I679" s="1" t="s">
        <v>836</v>
      </c>
    </row>
    <row r="680">
      <c r="A680" s="2" t="str">
        <f>HYPERLINK("https://ui.adsabs.harvard.edu/abs/2022Quant...6..686M/abstract","2022Quant...6..686M")</f>
        <v>2022Quant...6..686M</v>
      </c>
      <c r="B680" s="2" t="str">
        <f>HYPERLINK("https://ui.adsabs.harvard.edu/abs/2021arXiv211006702M/abstract","2021arXiv211006702M")</f>
        <v>2021arXiv211006702M</v>
      </c>
      <c r="C680" s="1" t="s">
        <v>70</v>
      </c>
      <c r="E680" s="2" t="str">
        <f>HYPERLINK("https://ui.adsabs.harvard.edu/abs/2021arXiv211006702M/abstract","2021arXiv211006702M")</f>
        <v>2021arXiv211006702M</v>
      </c>
      <c r="F680" s="1" t="s">
        <v>932</v>
      </c>
      <c r="G680" s="1" t="s">
        <v>72</v>
      </c>
      <c r="H680" s="1">
        <v>0.9925925</v>
      </c>
      <c r="I680" s="1" t="s">
        <v>836</v>
      </c>
    </row>
    <row r="681">
      <c r="A681" s="2" t="str">
        <f>HYPERLINK("https://ui.adsabs.harvard.edu/abs/2022Quant...6..688K/abstract","2022Quant...6..688K")</f>
        <v>2022Quant...6..688K</v>
      </c>
      <c r="B681" s="2" t="str">
        <f>HYPERLINK("https://ui.adsabs.harvard.edu/abs/2021arXiv211009735K/abstract","2021arXiv211009735K")</f>
        <v>2021arXiv211009735K</v>
      </c>
      <c r="C681" s="1" t="s">
        <v>70</v>
      </c>
      <c r="E681" s="2" t="str">
        <f>HYPERLINK("https://ui.adsabs.harvard.edu/abs/2021arXiv211009735K/abstract","2021arXiv211009735K")</f>
        <v>2021arXiv211009735K</v>
      </c>
      <c r="F681" s="1" t="s">
        <v>933</v>
      </c>
      <c r="G681" s="1" t="s">
        <v>72</v>
      </c>
      <c r="H681" s="1">
        <v>0.9925925</v>
      </c>
      <c r="I681" s="1" t="s">
        <v>836</v>
      </c>
    </row>
    <row r="682">
      <c r="A682" s="2" t="str">
        <f>HYPERLINK("https://ui.adsabs.harvard.edu/abs/2022Quant...6..689S/abstract","2022Quant...6..689S")</f>
        <v>2022Quant...6..689S</v>
      </c>
      <c r="B682" s="2" t="str">
        <f>HYPERLINK("https://ui.adsabs.harvard.edu/abs/2021arXiv210615721S/abstract","2021arXiv210615721S")</f>
        <v>2021arXiv210615721S</v>
      </c>
      <c r="C682" s="1" t="s">
        <v>70</v>
      </c>
      <c r="E682" s="2" t="str">
        <f>HYPERLINK("https://ui.adsabs.harvard.edu/abs/2021arXiv210615721S/abstract","2021arXiv210615721S")</f>
        <v>2021arXiv210615721S</v>
      </c>
      <c r="F682" s="1" t="s">
        <v>934</v>
      </c>
      <c r="G682" s="1" t="s">
        <v>72</v>
      </c>
      <c r="H682" s="1">
        <v>0.9925925</v>
      </c>
      <c r="I682" s="1" t="s">
        <v>836</v>
      </c>
    </row>
    <row r="683">
      <c r="A683" s="2" t="str">
        <f>HYPERLINK("https://ui.adsabs.harvard.edu/abs/2022Quant...6..692L/abstract","2022Quant...6..692L")</f>
        <v>2022Quant...6..692L</v>
      </c>
      <c r="B683" s="2" t="str">
        <f>HYPERLINK("https://ui.adsabs.harvard.edu/abs/2021arXiv211007781L/abstract","2021arXiv211007781L")</f>
        <v>2021arXiv211007781L</v>
      </c>
      <c r="C683" s="1" t="s">
        <v>70</v>
      </c>
      <c r="E683" s="2" t="str">
        <f>HYPERLINK("https://ui.adsabs.harvard.edu/abs/2021arXiv211007781L/abstract","2021arXiv211007781L")</f>
        <v>2021arXiv211007781L</v>
      </c>
      <c r="F683" s="1" t="s">
        <v>935</v>
      </c>
      <c r="G683" s="1" t="s">
        <v>72</v>
      </c>
      <c r="H683" s="1">
        <v>0.9925925</v>
      </c>
      <c r="I683" s="1" t="s">
        <v>836</v>
      </c>
    </row>
    <row r="684">
      <c r="A684" s="2" t="str">
        <f>HYPERLINK("https://ui.adsabs.harvard.edu/abs/2022Quant...6..744A/abstract","2022Quant...6..744A")</f>
        <v>2022Quant...6..744A</v>
      </c>
      <c r="B684" s="2" t="str">
        <f>HYPERLINK("https://ui.adsabs.harvard.edu/abs/2021arXiv211107086A/abstract","2021arXiv211107086A")</f>
        <v>2021arXiv211107086A</v>
      </c>
      <c r="C684" s="1" t="s">
        <v>70</v>
      </c>
      <c r="E684" s="2" t="str">
        <f>HYPERLINK("https://ui.adsabs.harvard.edu/abs/2021arXiv211107086A/abstract","2021arXiv211107086A")</f>
        <v>2021arXiv211107086A</v>
      </c>
      <c r="F684" s="1" t="s">
        <v>936</v>
      </c>
      <c r="G684" s="1" t="s">
        <v>72</v>
      </c>
      <c r="H684" s="1">
        <v>0.9925925</v>
      </c>
      <c r="I684" s="1" t="s">
        <v>836</v>
      </c>
    </row>
    <row r="685">
      <c r="A685" s="2" t="str">
        <f>HYPERLINK("https://ui.adsabs.harvard.edu/abs/2023Quant...7..902C/abstract","2023Quant...7..902C")</f>
        <v>2023Quant...7..902C</v>
      </c>
      <c r="E685" s="2" t="str">
        <f>HYPERLINK("https://ui.adsabs.harvard.edu/abs/2022arXiv220705646C/abstract","2022arXiv220705646C")</f>
        <v>2022arXiv220705646C</v>
      </c>
      <c r="F685" s="1" t="s">
        <v>937</v>
      </c>
      <c r="G685" s="1" t="s">
        <v>72</v>
      </c>
      <c r="H685" s="1">
        <v>0.9925925</v>
      </c>
      <c r="I685" s="1" t="s">
        <v>836</v>
      </c>
    </row>
    <row r="686">
      <c r="A686" s="2" t="str">
        <f>HYPERLINK("https://ui.adsabs.harvard.edu/abs/2023Quant...7..903W/abstract","2023Quant...7..903W")</f>
        <v>2023Quant...7..903W</v>
      </c>
      <c r="E686" s="2" t="str">
        <f>HYPERLINK("https://ui.adsabs.harvard.edu/abs/2022arXiv220405794W/abstract","2022arXiv220405794W")</f>
        <v>2022arXiv220405794W</v>
      </c>
      <c r="F686" s="1" t="s">
        <v>938</v>
      </c>
      <c r="G686" s="1" t="s">
        <v>72</v>
      </c>
      <c r="H686" s="1">
        <v>0.9925925</v>
      </c>
      <c r="I686" s="1" t="s">
        <v>836</v>
      </c>
    </row>
    <row r="687">
      <c r="A687" s="2" t="str">
        <f>HYPERLINK("https://ui.adsabs.harvard.edu/abs/2023JAtS...80..273L/abstract","2023JAtS...80..273L")</f>
        <v>2023JAtS...80..273L</v>
      </c>
      <c r="B687" s="2" t="str">
        <f>HYPERLINK("https://ui.adsabs.harvard.edu/abs/2022arXiv220402379L/abstract","2022arXiv220402379L")</f>
        <v>2022arXiv220402379L</v>
      </c>
      <c r="C687" s="1" t="s">
        <v>70</v>
      </c>
      <c r="E687" s="2" t="str">
        <f>HYPERLINK("https://ui.adsabs.harvard.edu/abs/2022arXiv220402379L/abstract","2022arXiv220402379L")</f>
        <v>2022arXiv220402379L</v>
      </c>
      <c r="F687" s="1" t="s">
        <v>939</v>
      </c>
      <c r="G687" s="1" t="s">
        <v>72</v>
      </c>
      <c r="H687" s="1">
        <v>0.9925925</v>
      </c>
      <c r="I687" s="1" t="s">
        <v>836</v>
      </c>
    </row>
    <row r="688">
      <c r="A688" s="2" t="str">
        <f>HYPERLINK("https://ui.adsabs.harvard.edu/abs/2023NucFu..63b4001M/abstract","2023NucFu..63b4001M")</f>
        <v>2023NucFu..63b4001M</v>
      </c>
      <c r="B688" s="2" t="str">
        <f>HYPERLINK("https://ui.adsabs.harvard.edu/abs/2022arXiv221010925M/abstract","2022arXiv221010925M")</f>
        <v>2022arXiv221010925M</v>
      </c>
      <c r="C688" s="1" t="s">
        <v>70</v>
      </c>
      <c r="E688" s="2" t="str">
        <f>HYPERLINK("https://ui.adsabs.harvard.edu/abs/2022arXiv221010925M/abstract","2022arXiv221010925M")</f>
        <v>2022arXiv221010925M</v>
      </c>
      <c r="F688" s="1" t="s">
        <v>940</v>
      </c>
      <c r="G688" s="1" t="s">
        <v>72</v>
      </c>
      <c r="H688" s="1">
        <v>0.9925925</v>
      </c>
      <c r="I688" s="1" t="s">
        <v>836</v>
      </c>
    </row>
    <row r="689">
      <c r="A689" s="2" t="str">
        <f>HYPERLINK("https://ui.adsabs.harvard.edu/abs/2023JPhCS2420a2021F/abstract","2023JPhCS2420a2021F")</f>
        <v>2023JPhCS2420a2021F</v>
      </c>
      <c r="B689" s="2" t="str">
        <f>HYPERLINK("https://ui.adsabs.harvard.edu/abs/2022arXiv220701192F/abstract","2022arXiv220701192F")</f>
        <v>2022arXiv220701192F</v>
      </c>
      <c r="C689" s="1" t="s">
        <v>70</v>
      </c>
      <c r="E689" s="2" t="str">
        <f>HYPERLINK("https://ui.adsabs.harvard.edu/abs/2022arXiv220701192F/abstract","2022arXiv220701192F")</f>
        <v>2022arXiv220701192F</v>
      </c>
      <c r="F689" s="1" t="s">
        <v>941</v>
      </c>
      <c r="G689" s="1" t="s">
        <v>72</v>
      </c>
      <c r="H689" s="1">
        <v>0.9925925</v>
      </c>
      <c r="I689" s="1" t="s">
        <v>836</v>
      </c>
    </row>
    <row r="690">
      <c r="A690" s="2" t="str">
        <f>HYPERLINK("https://ui.adsabs.harvard.edu/abs/2023MLS&amp;T...4a5006P/abstract","2023MLS&amp;T...4a5006P")</f>
        <v>2023MLS&amp;T...4a5006P</v>
      </c>
      <c r="B690" s="2" t="str">
        <f>HYPERLINK("https://ui.adsabs.harvard.edu/abs/2022arXiv221002674P/abstract","2022arXiv221002674P")</f>
        <v>2022arXiv221002674P</v>
      </c>
      <c r="C690" s="1" t="s">
        <v>70</v>
      </c>
      <c r="E690" s="2" t="str">
        <f>HYPERLINK("https://ui.adsabs.harvard.edu/abs/2022arXiv221002674P/abstract","2022arXiv221002674P")</f>
        <v>2022arXiv221002674P</v>
      </c>
      <c r="F690" s="1" t="s">
        <v>942</v>
      </c>
      <c r="G690" s="1" t="s">
        <v>72</v>
      </c>
      <c r="H690" s="1">
        <v>0.9925925</v>
      </c>
      <c r="I690" s="1" t="s">
        <v>836</v>
      </c>
    </row>
    <row r="691">
      <c r="A691" s="2" t="str">
        <f>HYPERLINK("https://ui.adsabs.harvard.edu/abs/2023CQGra..40d5006B/abstract","2023CQGra..40d5006B")</f>
        <v>2023CQGra..40d5006B</v>
      </c>
      <c r="B691" s="2" t="str">
        <f>HYPERLINK("https://ui.adsabs.harvard.edu/abs/2022arXiv221000605B/abstract","2022arXiv221000605B")</f>
        <v>2022arXiv221000605B</v>
      </c>
      <c r="C691" s="1" t="s">
        <v>70</v>
      </c>
      <c r="E691" s="2" t="str">
        <f>HYPERLINK("https://ui.adsabs.harvard.edu/abs/2022arXiv221000605B/abstract","2022arXiv221000605B")</f>
        <v>2022arXiv221000605B</v>
      </c>
      <c r="F691" s="1" t="s">
        <v>943</v>
      </c>
      <c r="G691" s="1" t="s">
        <v>72</v>
      </c>
      <c r="H691" s="1">
        <v>0.9925925</v>
      </c>
      <c r="I691" s="1" t="s">
        <v>836</v>
      </c>
    </row>
    <row r="692">
      <c r="A692" s="2" t="str">
        <f>HYPERLINK("https://ui.adsabs.harvard.edu/abs/2023InvPr..39c4001Z/abstract","2023InvPr..39c4001Z")</f>
        <v>2023InvPr..39c4001Z</v>
      </c>
      <c r="B692" s="2" t="str">
        <f>HYPERLINK("https://ui.adsabs.harvard.edu/abs/2022arXiv220713893Z/abstract","2022arXiv220713893Z")</f>
        <v>2022arXiv220713893Z</v>
      </c>
      <c r="C692" s="1" t="s">
        <v>70</v>
      </c>
      <c r="E692" s="2" t="str">
        <f>HYPERLINK("https://ui.adsabs.harvard.edu/abs/2022arXiv220713893Z/abstract","2022arXiv220713893Z")</f>
        <v>2022arXiv220713893Z</v>
      </c>
      <c r="F692" s="1" t="s">
        <v>944</v>
      </c>
      <c r="G692" s="1" t="s">
        <v>72</v>
      </c>
      <c r="H692" s="1">
        <v>0.9925925</v>
      </c>
      <c r="I692" s="1" t="s">
        <v>836</v>
      </c>
    </row>
    <row r="693">
      <c r="A693" s="2" t="str">
        <f>HYPERLINK("https://ui.adsabs.harvard.edu/abs/2023NJPh...25a3015S/abstract","2023NJPh...25a3015S")</f>
        <v>2023NJPh...25a3015S</v>
      </c>
      <c r="E693" s="2" t="str">
        <f>HYPERLINK("https://ui.adsabs.harvard.edu/abs/2022arXiv220602637S/abstract","2022arXiv220602637S")</f>
        <v>2022arXiv220602637S</v>
      </c>
      <c r="F693" s="1" t="s">
        <v>945</v>
      </c>
      <c r="G693" s="1" t="s">
        <v>72</v>
      </c>
      <c r="H693" s="1">
        <v>0.9925925</v>
      </c>
      <c r="I693" s="1" t="s">
        <v>836</v>
      </c>
    </row>
    <row r="694">
      <c r="A694" s="2" t="str">
        <f>HYPERLINK("https://ui.adsabs.harvard.edu/abs/2023JPhA...56a5305P/abstract","2023JPhA...56a5305P")</f>
        <v>2023JPhA...56a5305P</v>
      </c>
      <c r="B694" s="2" t="str">
        <f>HYPERLINK("https://ui.adsabs.harvard.edu/abs/2022arXiv220700996P/abstract","2022arXiv220700996P")</f>
        <v>2022arXiv220700996P</v>
      </c>
      <c r="C694" s="1" t="s">
        <v>70</v>
      </c>
      <c r="E694" s="2" t="str">
        <f>HYPERLINK("https://ui.adsabs.harvard.edu/abs/2022arXiv220700996P/abstract","2022arXiv220700996P")</f>
        <v>2022arXiv220700996P</v>
      </c>
      <c r="F694" s="1" t="s">
        <v>946</v>
      </c>
      <c r="G694" s="1" t="s">
        <v>72</v>
      </c>
      <c r="H694" s="1">
        <v>0.9925925</v>
      </c>
      <c r="I694" s="1" t="s">
        <v>836</v>
      </c>
    </row>
    <row r="695">
      <c r="A695" s="2" t="str">
        <f>HYPERLINK("https://ui.adsabs.harvard.edu/abs/2023PhRvD.107a4020B/abstract","2023PhRvD.107a4020B")</f>
        <v>2023PhRvD.107a4020B</v>
      </c>
      <c r="E695" s="2" t="str">
        <f>HYPERLINK("https://ui.adsabs.harvard.edu/abs/2022arXiv220904313B/abstract","2022arXiv220904313B")</f>
        <v>2022arXiv220904313B</v>
      </c>
      <c r="G695" s="1" t="s">
        <v>72</v>
      </c>
      <c r="H695" s="1">
        <v>0.9926447</v>
      </c>
      <c r="I695" s="1" t="s">
        <v>947</v>
      </c>
    </row>
    <row r="696">
      <c r="A696" s="2" t="str">
        <f>HYPERLINK("https://ui.adsabs.harvard.edu/abs/2023PhRvP..19a4047S/abstract","2023PhRvP..19a4047S")</f>
        <v>2023PhRvP..19a4047S</v>
      </c>
      <c r="B696" s="2" t="str">
        <f>HYPERLINK("https://ui.adsabs.harvard.edu/abs/2022arXiv220513365S/abstract","2022arXiv220513365S")</f>
        <v>2022arXiv220513365S</v>
      </c>
      <c r="C696" s="1" t="s">
        <v>70</v>
      </c>
      <c r="E696" s="2" t="str">
        <f>HYPERLINK("https://ui.adsabs.harvard.edu/abs/2022arXiv220513365S/abstract","2022arXiv220513365S")</f>
        <v>2022arXiv220513365S</v>
      </c>
      <c r="G696" s="1" t="s">
        <v>72</v>
      </c>
      <c r="H696" s="1">
        <v>0.9927629</v>
      </c>
      <c r="I696" s="1" t="s">
        <v>948</v>
      </c>
    </row>
    <row r="697">
      <c r="A697" s="2" t="str">
        <f>HYPERLINK("https://ui.adsabs.harvard.edu/abs/2023AdM....3507322L/abstract","2023AdM....3507322L")</f>
        <v>2023AdM....3507322L</v>
      </c>
      <c r="B697" s="2" t="str">
        <f>HYPERLINK("https://ui.adsabs.harvard.edu/abs/2022arXiv220317059L/abstract","2022arXiv220317059L")</f>
        <v>2022arXiv220317059L</v>
      </c>
      <c r="C697" s="1" t="s">
        <v>70</v>
      </c>
      <c r="E697" s="2" t="str">
        <f>HYPERLINK("https://ui.adsabs.harvard.edu/abs/2022arXiv220317059L/abstract","2022arXiv220317059L")</f>
        <v>2022arXiv220317059L</v>
      </c>
      <c r="F697" s="1" t="s">
        <v>949</v>
      </c>
      <c r="G697" s="1" t="s">
        <v>72</v>
      </c>
      <c r="H697" s="1">
        <v>0.9927986</v>
      </c>
      <c r="I697" s="1" t="s">
        <v>950</v>
      </c>
    </row>
    <row r="698">
      <c r="A698" s="2" t="str">
        <f>HYPERLINK("https://ui.adsabs.harvard.edu/abs/2020Quant...4..303V/abstract","2020Quant...4..303V")</f>
        <v>2020Quant...4..303V</v>
      </c>
      <c r="E698" s="2" t="str">
        <f>HYPERLINK("https://ui.adsabs.harvard.edu/abs/2019arXiv191003093K/abstract","2019arXiv191003093K")</f>
        <v>2019arXiv191003093K</v>
      </c>
      <c r="G698" s="1" t="s">
        <v>72</v>
      </c>
      <c r="H698" s="1">
        <v>0.9929317</v>
      </c>
      <c r="I698" s="1" t="s">
        <v>951</v>
      </c>
    </row>
    <row r="699">
      <c r="A699" s="2" t="str">
        <f>HYPERLINK("https://ui.adsabs.harvard.edu/abs/2020Quant...4..353A/abstract","2020Quant...4..353A")</f>
        <v>2020Quant...4..353A</v>
      </c>
      <c r="B699" s="2" t="str">
        <f>HYPERLINK("https://ui.adsabs.harvard.edu/abs/2020arXiv200513418A/abstract","2020arXiv200513418A")</f>
        <v>2020arXiv200513418A</v>
      </c>
      <c r="C699" s="1" t="s">
        <v>70</v>
      </c>
      <c r="E699" s="2" t="str">
        <f>HYPERLINK("https://ui.adsabs.harvard.edu/abs/2020arXiv200513418A/abstract","2020arXiv200513418A")</f>
        <v>2020arXiv200513418A</v>
      </c>
      <c r="G699" s="1" t="s">
        <v>72</v>
      </c>
      <c r="H699" s="1">
        <v>0.9929317</v>
      </c>
      <c r="I699" s="1" t="s">
        <v>951</v>
      </c>
    </row>
    <row r="700">
      <c r="A700" s="2" t="str">
        <f>HYPERLINK("https://ui.adsabs.harvard.edu/abs/2023PhRvB.107d5418D/abstract","2023PhRvB.107d5418D")</f>
        <v>2023PhRvB.107d5418D</v>
      </c>
      <c r="E700" s="2" t="str">
        <f>HYPERLINK("https://ui.adsabs.harvard.edu/abs/2022arXiv221011227G/abstract","2022arXiv221011227G")</f>
        <v>2022arXiv221011227G</v>
      </c>
      <c r="G700" s="1" t="s">
        <v>72</v>
      </c>
      <c r="H700" s="1">
        <v>0.9930186</v>
      </c>
      <c r="I700" s="1" t="s">
        <v>952</v>
      </c>
    </row>
    <row r="701">
      <c r="A701" s="2" t="str">
        <f>HYPERLINK("https://ui.adsabs.harvard.edu/abs/2017Quant...1...13A/abstract","2017Quant...1...13A")</f>
        <v>2017Quant...1...13A</v>
      </c>
      <c r="B701" s="2" t="str">
        <f>HYPERLINK("https://ui.adsabs.harvard.edu/abs/2016arXiv161000022A/abstract","2016arXiv161000022A")</f>
        <v>2016arXiv161000022A</v>
      </c>
      <c r="C701" s="1" t="s">
        <v>70</v>
      </c>
      <c r="E701" s="2" t="str">
        <f>HYPERLINK("https://ui.adsabs.harvard.edu/abs/2016arXiv161000022A/abstract","2016arXiv161000022A")</f>
        <v>2016arXiv161000022A</v>
      </c>
      <c r="G701" s="1" t="s">
        <v>72</v>
      </c>
      <c r="H701" s="1">
        <v>0.9930186</v>
      </c>
      <c r="I701" s="1" t="s">
        <v>952</v>
      </c>
    </row>
    <row r="702">
      <c r="A702" s="2" t="str">
        <f>HYPERLINK("https://ui.adsabs.harvard.edu/abs/2020Quant...4..295N/abstract","2020Quant...4..295N")</f>
        <v>2020Quant...4..295N</v>
      </c>
      <c r="B702" s="2" t="str">
        <f>HYPERLINK("https://ui.adsabs.harvard.edu/abs/2019arXiv190911817N/abstract","2019arXiv190911817N")</f>
        <v>2019arXiv190911817N</v>
      </c>
      <c r="C702" s="1" t="s">
        <v>70</v>
      </c>
      <c r="E702" s="2" t="str">
        <f>HYPERLINK("https://ui.adsabs.harvard.edu/abs/2019arXiv190911817N/abstract","2019arXiv190911817N")</f>
        <v>2019arXiv190911817N</v>
      </c>
      <c r="G702" s="1" t="s">
        <v>72</v>
      </c>
      <c r="H702" s="1">
        <v>0.9930186</v>
      </c>
      <c r="I702" s="1" t="s">
        <v>952</v>
      </c>
    </row>
    <row r="703">
      <c r="A703" s="2" t="str">
        <f>HYPERLINK("https://ui.adsabs.harvard.edu/abs/2020Quant...4..320T/abstract","2020Quant...4..320T")</f>
        <v>2020Quant...4..320T</v>
      </c>
      <c r="E703" s="2" t="str">
        <f>HYPERLINK("https://ui.adsabs.harvard.edu/abs/2019arXiv191010954P/abstract","2019arXiv191010954P")</f>
        <v>2019arXiv191010954P</v>
      </c>
      <c r="G703" s="1" t="s">
        <v>72</v>
      </c>
      <c r="H703" s="1">
        <v>0.9930186</v>
      </c>
      <c r="I703" s="1" t="s">
        <v>952</v>
      </c>
    </row>
    <row r="704">
      <c r="A704" s="2" t="str">
        <f>HYPERLINK("https://ui.adsabs.harvard.edu/abs/2020Quant...4..363D/abstract","2020Quant...4..363D")</f>
        <v>2020Quant...4..363D</v>
      </c>
      <c r="E704" s="2" t="str">
        <f>HYPERLINK("https://ui.adsabs.harvard.edu/abs/2019arXiv190707043M/abstract","2019arXiv190707043M")</f>
        <v>2019arXiv190707043M</v>
      </c>
      <c r="G704" s="1" t="s">
        <v>72</v>
      </c>
      <c r="H704" s="1">
        <v>0.9930186</v>
      </c>
      <c r="I704" s="1" t="s">
        <v>952</v>
      </c>
    </row>
    <row r="705">
      <c r="A705" s="2" t="str">
        <f>HYPERLINK("https://ui.adsabs.harvard.edu/abs/2020Quant...4..378W/abstract","2020Quant...4..378W")</f>
        <v>2020Quant...4..378W</v>
      </c>
      <c r="B705" s="2" t="str">
        <f>HYPERLINK("https://ui.adsabs.harvard.edu/abs/2020arXiv200412749W/abstract","2020arXiv200412749W")</f>
        <v>2020arXiv200412749W</v>
      </c>
      <c r="C705" s="1" t="s">
        <v>70</v>
      </c>
      <c r="E705" s="2" t="str">
        <f>HYPERLINK("https://ui.adsabs.harvard.edu/abs/2020arXiv200412749W/abstract","2020arXiv200412749W")</f>
        <v>2020arXiv200412749W</v>
      </c>
      <c r="G705" s="1" t="s">
        <v>72</v>
      </c>
      <c r="H705" s="1">
        <v>0.9930186</v>
      </c>
      <c r="I705" s="1" t="s">
        <v>952</v>
      </c>
    </row>
    <row r="706">
      <c r="A706" s="2" t="str">
        <f>HYPERLINK("https://ui.adsabs.harvard.edu/abs/2021Quant...5..467R/abstract","2021Quant...5..467R")</f>
        <v>2021Quant...5..467R</v>
      </c>
      <c r="B706" s="2" t="str">
        <f>HYPERLINK("https://ui.adsabs.harvard.edu/abs/2020arXiv201211088R/abstract","2020arXiv201211088R")</f>
        <v>2020arXiv201211088R</v>
      </c>
      <c r="C706" s="1" t="s">
        <v>70</v>
      </c>
      <c r="E706" s="2" t="str">
        <f>HYPERLINK("https://ui.adsabs.harvard.edu/abs/2020arXiv201211088R/abstract","2020arXiv201211088R")</f>
        <v>2020arXiv201211088R</v>
      </c>
      <c r="G706" s="1" t="s">
        <v>72</v>
      </c>
      <c r="H706" s="1">
        <v>0.9930186</v>
      </c>
      <c r="I706" s="1" t="s">
        <v>952</v>
      </c>
    </row>
    <row r="707">
      <c r="A707" s="2" t="str">
        <f>HYPERLINK("https://ui.adsabs.harvard.edu/abs/2022Quant...6..613P/abstract","2022Quant...6..613P")</f>
        <v>2022Quant...6..613P</v>
      </c>
      <c r="B707" s="2" t="str">
        <f>HYPERLINK("https://ui.adsabs.harvard.edu/abs/2021arXiv210900492P/abstract","2021arXiv210900492P")</f>
        <v>2021arXiv210900492P</v>
      </c>
      <c r="C707" s="1" t="s">
        <v>70</v>
      </c>
      <c r="E707" s="2" t="str">
        <f>HYPERLINK("https://ui.adsabs.harvard.edu/abs/2021arXiv210900492P/abstract","2021arXiv210900492P")</f>
        <v>2021arXiv210900492P</v>
      </c>
      <c r="G707" s="1" t="s">
        <v>72</v>
      </c>
      <c r="H707" s="1">
        <v>0.9930186</v>
      </c>
      <c r="I707" s="1" t="s">
        <v>952</v>
      </c>
    </row>
    <row r="708">
      <c r="A708" s="2" t="str">
        <f>HYPERLINK("https://ui.adsabs.harvard.edu/abs/2022Quant...6..673B/abstract","2022Quant...6..673B")</f>
        <v>2022Quant...6..673B</v>
      </c>
      <c r="B708" s="2" t="str">
        <f>HYPERLINK("https://ui.adsabs.harvard.edu/abs/2021arXiv210406234B/abstract","2021arXiv210406234B")</f>
        <v>2021arXiv210406234B</v>
      </c>
      <c r="C708" s="1" t="s">
        <v>70</v>
      </c>
      <c r="E708" s="2" t="str">
        <f>HYPERLINK("https://ui.adsabs.harvard.edu/abs/2021arXiv210406234B/abstract","2021arXiv210406234B")</f>
        <v>2021arXiv210406234B</v>
      </c>
      <c r="G708" s="1" t="s">
        <v>72</v>
      </c>
      <c r="H708" s="1">
        <v>0.9930186</v>
      </c>
      <c r="I708" s="1" t="s">
        <v>952</v>
      </c>
    </row>
    <row r="709">
      <c r="A709" s="2" t="str">
        <f>HYPERLINK("https://ui.adsabs.harvard.edu/abs/2022Quant...6..699C/abstract","2022Quant...6..699C")</f>
        <v>2022Quant...6..699C</v>
      </c>
      <c r="B709" s="2" t="str">
        <f>HYPERLINK("https://ui.adsabs.harvard.edu/abs/2021arXiv210806254C/abstract","2021arXiv210806254C")</f>
        <v>2021arXiv210806254C</v>
      </c>
      <c r="C709" s="1" t="s">
        <v>70</v>
      </c>
      <c r="E709" s="2" t="str">
        <f>HYPERLINK("https://ui.adsabs.harvard.edu/abs/2021arXiv210806254C/abstract","2021arXiv210806254C")</f>
        <v>2021arXiv210806254C</v>
      </c>
      <c r="G709" s="1" t="s">
        <v>72</v>
      </c>
      <c r="H709" s="1">
        <v>0.9930186</v>
      </c>
      <c r="I709" s="1" t="s">
        <v>952</v>
      </c>
    </row>
    <row r="710">
      <c r="A710" s="2" t="str">
        <f>HYPERLINK("https://ui.adsabs.harvard.edu/abs/2022Quant...6..853H/abstract","2022Quant...6..853H")</f>
        <v>2022Quant...6..853H</v>
      </c>
      <c r="B710" s="2" t="str">
        <f>HYPERLINK("https://ui.adsabs.harvard.edu/abs/2022arXiv220200725H/abstract","2022arXiv220200725H")</f>
        <v>2022arXiv220200725H</v>
      </c>
      <c r="C710" s="1" t="s">
        <v>70</v>
      </c>
      <c r="E710" s="2" t="str">
        <f>HYPERLINK("https://ui.adsabs.harvard.edu/abs/2022arXiv220200725H/abstract","2022arXiv220200725H")</f>
        <v>2022arXiv220200725H</v>
      </c>
      <c r="G710" s="1" t="s">
        <v>72</v>
      </c>
      <c r="H710" s="1">
        <v>0.9930186</v>
      </c>
      <c r="I710" s="1" t="s">
        <v>952</v>
      </c>
    </row>
    <row r="711">
      <c r="A711" s="2" t="str">
        <f>HYPERLINK("https://ui.adsabs.harvard.edu/abs/2022Quant...6..884C/abstract","2022Quant...6..884C")</f>
        <v>2022Quant...6..884C</v>
      </c>
      <c r="B711" s="2" t="str">
        <f>HYPERLINK("https://ui.adsabs.harvard.edu/abs/2022arXiv220705769C/abstract","2022arXiv220705769C")</f>
        <v>2022arXiv220705769C</v>
      </c>
      <c r="C711" s="1" t="s">
        <v>70</v>
      </c>
      <c r="E711" s="2" t="str">
        <f>HYPERLINK("https://ui.adsabs.harvard.edu/abs/2022arXiv220705769C/abstract","2022arXiv220705769C")</f>
        <v>2022arXiv220705769C</v>
      </c>
      <c r="G711" s="1" t="s">
        <v>72</v>
      </c>
      <c r="H711" s="1">
        <v>0.9930186</v>
      </c>
      <c r="I711" s="1" t="s">
        <v>952</v>
      </c>
    </row>
    <row r="712">
      <c r="A712" s="2" t="str">
        <f>HYPERLINK("https://ui.adsabs.harvard.edu/abs/2023NatPh..19...35I/abstract","2023NatPh..19...35I")</f>
        <v>2023NatPh..19...35I</v>
      </c>
      <c r="E712" s="2" t="str">
        <f>HYPERLINK("https://ui.adsabs.harvard.edu/abs/2021arXiv211011604I/abstract","2021arXiv211011604I")</f>
        <v>2021arXiv211011604I</v>
      </c>
      <c r="G712" s="1" t="s">
        <v>72</v>
      </c>
      <c r="H712" s="1">
        <v>0.993341</v>
      </c>
      <c r="I712" s="1" t="s">
        <v>953</v>
      </c>
    </row>
    <row r="713">
      <c r="A713" s="2" t="str">
        <f>HYPERLINK("https://ui.adsabs.harvard.edu/abs/2019Quant...3..163L/abstract","2019Quant...3..163L")</f>
        <v>2019Quant...3..163L</v>
      </c>
      <c r="E713" s="2" t="str">
        <f>HYPERLINK("https://ui.adsabs.harvard.edu/abs/2016arXiv161006546H/abstract","2016arXiv161006546H")</f>
        <v>2016arXiv161006546H</v>
      </c>
      <c r="G713" s="1" t="s">
        <v>72</v>
      </c>
      <c r="H713" s="1">
        <v>0.9934482</v>
      </c>
      <c r="I713" s="1" t="s">
        <v>954</v>
      </c>
    </row>
    <row r="714">
      <c r="A714" s="2" t="str">
        <f>HYPERLINK("https://ui.adsabs.harvard.edu/abs/2019Quant...3..121B/abstract","2019Quant...3..121B")</f>
        <v>2019Quant...3..121B</v>
      </c>
      <c r="E714" s="2" t="str">
        <f>HYPERLINK("https://ui.adsabs.harvard.edu/abs/2017arXiv170701750N/abstract","2017arXiv170701750N")</f>
        <v>2017arXiv170701750N</v>
      </c>
      <c r="G714" s="1" t="s">
        <v>72</v>
      </c>
      <c r="H714" s="1">
        <v>0.9934545</v>
      </c>
      <c r="I714" s="1" t="s">
        <v>955</v>
      </c>
    </row>
    <row r="715">
      <c r="A715" s="2" t="str">
        <f>HYPERLINK("https://ui.adsabs.harvard.edu/abs/2022Quant...6..627G/abstract","2022Quant...6..627G")</f>
        <v>2022Quant...6..627G</v>
      </c>
      <c r="E715" s="2" t="str">
        <f>HYPERLINK("https://ui.adsabs.harvard.edu/abs/2019arXiv191208831L/abstract","2019arXiv191208831L")</f>
        <v>2019arXiv191208831L</v>
      </c>
      <c r="G715" s="1" t="s">
        <v>72</v>
      </c>
      <c r="H715" s="1">
        <v>0.9935288</v>
      </c>
      <c r="I715" s="1" t="s">
        <v>956</v>
      </c>
    </row>
    <row r="716">
      <c r="A716" s="2" t="str">
        <f>HYPERLINK("https://ui.adsabs.harvard.edu/abs/2020Quant...4..365P/abstract","2020Quant...4..365P")</f>
        <v>2020Quant...4..365P</v>
      </c>
      <c r="B716" s="2" t="str">
        <f>HYPERLINK("https://ui.adsabs.harvard.edu/abs/2019arXiv191013405P/abstract","2019arXiv191013405P")</f>
        <v>2019arXiv191013405P</v>
      </c>
      <c r="C716" s="1" t="s">
        <v>70</v>
      </c>
      <c r="E716" s="2" t="str">
        <f>HYPERLINK("https://ui.adsabs.harvard.edu/abs/2019arXiv191013405P/abstract","2019arXiv191013405P")</f>
        <v>2019arXiv191013405P</v>
      </c>
      <c r="G716" s="1" t="s">
        <v>72</v>
      </c>
      <c r="H716" s="1">
        <v>0.9935677</v>
      </c>
      <c r="I716" s="1" t="s">
        <v>957</v>
      </c>
    </row>
    <row r="717">
      <c r="A717" s="2" t="str">
        <f>HYPERLINK("https://ui.adsabs.harvard.edu/abs/2023PhLB..83837651L/abstract","2023PhLB..83837651L")</f>
        <v>2023PhLB..83837651L</v>
      </c>
      <c r="B717" s="2" t="str">
        <f>HYPERLINK("https://ui.adsabs.harvard.edu/abs/2022arXiv220502205L/abstract","2022arXiv220502205L")</f>
        <v>2022arXiv220502205L</v>
      </c>
      <c r="C717" s="1" t="s">
        <v>70</v>
      </c>
      <c r="E717" s="2" t="str">
        <f>HYPERLINK("https://ui.adsabs.harvard.edu/abs/2022arXiv220502205L/abstract","2022arXiv220502205L")</f>
        <v>2022arXiv220502205L</v>
      </c>
      <c r="G717" s="1" t="s">
        <v>72</v>
      </c>
      <c r="H717" s="1">
        <v>0.9936253</v>
      </c>
      <c r="I717" s="1" t="s">
        <v>958</v>
      </c>
    </row>
    <row r="718">
      <c r="A718" s="2" t="str">
        <f>HYPERLINK("https://ui.adsabs.harvard.edu/abs/2022Quant...6..736H/abstract","2022Quant...6..736H")</f>
        <v>2022Quant...6..736H</v>
      </c>
      <c r="B718" s="2" t="str">
        <f>HYPERLINK("https://ui.adsabs.harvard.edu/abs/2021arXiv211200754H/abstract","2021arXiv211200754H")</f>
        <v>2021arXiv211200754H</v>
      </c>
      <c r="C718" s="1" t="s">
        <v>70</v>
      </c>
      <c r="E718" s="2" t="str">
        <f>HYPERLINK("https://ui.adsabs.harvard.edu/abs/2021arXiv211200754H/abstract","2021arXiv211200754H")</f>
        <v>2021arXiv211200754H</v>
      </c>
      <c r="G718" s="1" t="s">
        <v>72</v>
      </c>
      <c r="H718" s="1">
        <v>0.9936253</v>
      </c>
      <c r="I718" s="1" t="s">
        <v>958</v>
      </c>
    </row>
    <row r="719">
      <c r="A719" s="2" t="str">
        <f>HYPERLINK("https://ui.adsabs.harvard.edu/abs/2019Quant...3..115B/abstract","2019Quant...3..115B")</f>
        <v>2019Quant...3..115B</v>
      </c>
      <c r="B719" s="2" t="str">
        <f>HYPERLINK("https://ui.adsabs.harvard.edu/abs/2018arXiv180103508B/abstract","2018arXiv180103508B")</f>
        <v>2018arXiv180103508B</v>
      </c>
      <c r="C719" s="1" t="s">
        <v>70</v>
      </c>
      <c r="E719" s="2" t="str">
        <f>HYPERLINK("https://ui.adsabs.harvard.edu/abs/2018arXiv180103508B/abstract","2018arXiv180103508B")</f>
        <v>2018arXiv180103508B</v>
      </c>
      <c r="G719" s="1" t="s">
        <v>72</v>
      </c>
      <c r="H719" s="1">
        <v>0.9936323</v>
      </c>
      <c r="I719" s="1" t="s">
        <v>959</v>
      </c>
    </row>
    <row r="720">
      <c r="A720" s="2" t="str">
        <f>HYPERLINK("https://ui.adsabs.harvard.edu/abs/2023PhRvB.107c5127J/abstract","2023PhRvB.107c5127J")</f>
        <v>2023PhRvB.107c5127J</v>
      </c>
      <c r="B720" s="2" t="str">
        <f>HYPERLINK("https://ui.adsabs.harvard.edu/abs/2022arXiv220906768J/abstract","2022arXiv220906768J")</f>
        <v>2022arXiv220906768J</v>
      </c>
      <c r="C720" s="1" t="s">
        <v>70</v>
      </c>
      <c r="E720" s="2" t="str">
        <f>HYPERLINK("https://ui.adsabs.harvard.edu/abs/2022arXiv220906768J/abstract","2022arXiv220906768J")</f>
        <v>2022arXiv220906768J</v>
      </c>
      <c r="G720" s="1" t="s">
        <v>72</v>
      </c>
      <c r="H720" s="1">
        <v>0.9936511</v>
      </c>
      <c r="I720" s="1" t="s">
        <v>960</v>
      </c>
    </row>
    <row r="721">
      <c r="A721" s="2" t="str">
        <f>HYPERLINK("https://ui.adsabs.harvard.edu/abs/2023JInst..18C1040S/abstract","2023JInst..18C1040S")</f>
        <v>2023JInst..18C1040S</v>
      </c>
      <c r="B721" s="2" t="str">
        <f>HYPERLINK("https://ui.adsabs.harvard.edu/abs/2022arXiv221013046S/abstract","2022arXiv221013046S")</f>
        <v>2022arXiv221013046S</v>
      </c>
      <c r="C721" s="1" t="s">
        <v>70</v>
      </c>
      <c r="E721" s="2" t="str">
        <f>HYPERLINK("https://ui.adsabs.harvard.edu/abs/2022arXiv221013046S/abstract","2022arXiv221013046S")</f>
        <v>2022arXiv221013046S</v>
      </c>
      <c r="G721" s="1" t="s">
        <v>72</v>
      </c>
      <c r="H721" s="1">
        <v>0.993688</v>
      </c>
      <c r="I721" s="1" t="s">
        <v>961</v>
      </c>
    </row>
    <row r="722">
      <c r="A722" s="2" t="str">
        <f>HYPERLINK("https://ui.adsabs.harvard.edu/abs/2023PhRvD.107a5015B/abstract","2023PhRvD.107a5015B")</f>
        <v>2023PhRvD.107a5015B</v>
      </c>
      <c r="B722" s="2" t="str">
        <f>HYPERLINK("https://ui.adsabs.harvard.edu/abs/2022arXiv220501144B/abstract","2022arXiv220501144B")</f>
        <v>2022arXiv220501144B</v>
      </c>
      <c r="C722" s="1" t="s">
        <v>70</v>
      </c>
      <c r="E722" s="2" t="str">
        <f>HYPERLINK("https://ui.adsabs.harvard.edu/abs/2022arXiv220501144B/abstract","2022arXiv220501144B")</f>
        <v>2022arXiv220501144B</v>
      </c>
      <c r="G722" s="1" t="s">
        <v>72</v>
      </c>
      <c r="H722" s="1">
        <v>0.9937179</v>
      </c>
      <c r="I722" s="1" t="s">
        <v>962</v>
      </c>
    </row>
    <row r="723">
      <c r="A723" s="2" t="str">
        <f>HYPERLINK("https://ui.adsabs.harvard.edu/abs/2023PhPl...30a3105E/abstract","2023PhPl...30a3105E")</f>
        <v>2023PhPl...30a3105E</v>
      </c>
      <c r="B723" s="2" t="str">
        <f>HYPERLINK("https://ui.adsabs.harvard.edu/abs/2022arXiv220900272E/abstract","2022arXiv220900272E")</f>
        <v>2022arXiv220900272E</v>
      </c>
      <c r="C723" s="1" t="s">
        <v>70</v>
      </c>
      <c r="E723" s="2" t="str">
        <f>HYPERLINK("https://ui.adsabs.harvard.edu/abs/2022arXiv220900272E/abstract","2022arXiv220900272E")</f>
        <v>2022arXiv220900272E</v>
      </c>
      <c r="G723" s="1" t="s">
        <v>72</v>
      </c>
      <c r="H723" s="1">
        <v>0.9937271</v>
      </c>
      <c r="I723" s="1" t="s">
        <v>963</v>
      </c>
    </row>
    <row r="724">
      <c r="A724" s="2" t="str">
        <f>HYPERLINK("https://ui.adsabs.harvard.edu/abs/2023JCoPh.47611898B/abstract","2023JCoPh.47611898B")</f>
        <v>2023JCoPh.47611898B</v>
      </c>
      <c r="E724" s="2" t="str">
        <f>HYPERLINK("https://ui.adsabs.harvard.edu/abs/2019arXiv190207773B/abstract","2019arXiv190207773B")</f>
        <v>2019arXiv190207773B</v>
      </c>
      <c r="G724" s="1" t="s">
        <v>72</v>
      </c>
      <c r="H724" s="1">
        <v>0.9937319</v>
      </c>
      <c r="I724" s="1" t="s">
        <v>964</v>
      </c>
    </row>
    <row r="725">
      <c r="A725" s="2" t="str">
        <f>HYPERLINK("https://ui.adsabs.harvard.edu/abs/2021Quant...5..541S/abstract","2021Quant...5..541S")</f>
        <v>2021Quant...5..541S</v>
      </c>
      <c r="B725" s="2" t="str">
        <f>HYPERLINK("https://ui.adsabs.harvard.edu/abs/2021arXiv210301709S/abstract","2021arXiv210301709S")</f>
        <v>2021arXiv210301709S</v>
      </c>
      <c r="C725" s="1" t="s">
        <v>70</v>
      </c>
      <c r="E725" s="2" t="str">
        <f>HYPERLINK("https://ui.adsabs.harvard.edu/abs/2021arXiv210301709S/abstract","2021arXiv210301709S")</f>
        <v>2021arXiv210301709S</v>
      </c>
      <c r="G725" s="1" t="s">
        <v>72</v>
      </c>
      <c r="H725" s="1">
        <v>0.9938495</v>
      </c>
      <c r="I725" s="1" t="s">
        <v>965</v>
      </c>
    </row>
    <row r="726">
      <c r="A726" s="2" t="str">
        <f>HYPERLINK("https://ui.adsabs.harvard.edu/abs/2023Chaos..33a3129D/abstract","2023Chaos..33a3129D")</f>
        <v>2023Chaos..33a3129D</v>
      </c>
      <c r="B726" s="2" t="str">
        <f>HYPERLINK("https://ui.adsabs.harvard.edu/abs/2022arXiv220511789D/abstract","2022arXiv220511789D")</f>
        <v>2022arXiv220511789D</v>
      </c>
      <c r="C726" s="1" t="s">
        <v>70</v>
      </c>
      <c r="E726" s="2" t="str">
        <f>HYPERLINK("https://ui.adsabs.harvard.edu/abs/2022arXiv220511789D/abstract","2022arXiv220511789D")</f>
        <v>2022arXiv220511789D</v>
      </c>
      <c r="G726" s="1" t="s">
        <v>72</v>
      </c>
      <c r="H726" s="1">
        <v>0.9939238</v>
      </c>
      <c r="I726" s="1" t="s">
        <v>966</v>
      </c>
    </row>
    <row r="727">
      <c r="A727" s="2" t="str">
        <f>HYPERLINK("https://ui.adsabs.harvard.edu/abs/2023PhyA..61228479A/abstract","2023PhyA..61228479A")</f>
        <v>2023PhyA..61228479A</v>
      </c>
      <c r="B727" s="2" t="str">
        <f>HYPERLINK("https://ui.adsabs.harvard.edu/abs/2022arXiv220915593A/abstract","2022arXiv220915593A")</f>
        <v>2022arXiv220915593A</v>
      </c>
      <c r="C727" s="1" t="s">
        <v>70</v>
      </c>
      <c r="E727" s="2" t="str">
        <f>HYPERLINK("https://ui.adsabs.harvard.edu/abs/2022arXiv220915593A/abstract","2022arXiv220915593A")</f>
        <v>2022arXiv220915593A</v>
      </c>
      <c r="G727" s="1" t="s">
        <v>72</v>
      </c>
      <c r="H727" s="1">
        <v>0.9939399</v>
      </c>
      <c r="I727" s="1" t="s">
        <v>967</v>
      </c>
    </row>
    <row r="728">
      <c r="A728" s="2" t="str">
        <f>HYPERLINK("https://ui.adsabs.harvard.edu/abs/2017Quant...1...30L/abstract","2017Quant...1...30L")</f>
        <v>2017Quant...1...30L</v>
      </c>
      <c r="B728" s="2" t="str">
        <f>HYPERLINK("https://ui.adsabs.harvard.edu/abs/2017arXiv170407623L/abstract","2017arXiv170407623L")</f>
        <v>2017arXiv170407623L</v>
      </c>
      <c r="C728" s="1" t="s">
        <v>70</v>
      </c>
      <c r="E728" s="2" t="str">
        <f>HYPERLINK("https://ui.adsabs.harvard.edu/abs/2017arXiv170407623L/abstract","2017arXiv170407623L")</f>
        <v>2017arXiv170407623L</v>
      </c>
      <c r="G728" s="1" t="s">
        <v>72</v>
      </c>
      <c r="H728" s="1">
        <v>0.9939399</v>
      </c>
      <c r="I728" s="1" t="s">
        <v>967</v>
      </c>
    </row>
    <row r="729">
      <c r="A729" s="2" t="str">
        <f>HYPERLINK("https://ui.adsabs.harvard.edu/abs/2019Quant...3..176B/abstract","2019Quant...3..176B")</f>
        <v>2019Quant...3..176B</v>
      </c>
      <c r="B729" s="2" t="str">
        <f>HYPERLINK("https://ui.adsabs.harvard.edu/abs/2019arXiv190310526B/abstract","2019arXiv190310526B")</f>
        <v>2019arXiv190310526B</v>
      </c>
      <c r="C729" s="1" t="s">
        <v>70</v>
      </c>
      <c r="E729" s="2" t="str">
        <f>HYPERLINK("https://ui.adsabs.harvard.edu/abs/2019arXiv190310526B/abstract","2019arXiv190310526B")</f>
        <v>2019arXiv190310526B</v>
      </c>
      <c r="G729" s="1" t="s">
        <v>72</v>
      </c>
      <c r="H729" s="1">
        <v>0.9939399</v>
      </c>
      <c r="I729" s="1" t="s">
        <v>967</v>
      </c>
    </row>
    <row r="730">
      <c r="A730" s="2" t="str">
        <f>HYPERLINK("https://ui.adsabs.harvard.edu/abs/2020Quant...4..360C/abstract","2020Quant...4..360C")</f>
        <v>2020Quant...4..360C</v>
      </c>
      <c r="B730" s="2" t="str">
        <f>HYPERLINK("https://ui.adsabs.harvard.edu/abs/2020arXiv200307889C/abstract","2020arXiv200307889C")</f>
        <v>2020arXiv200307889C</v>
      </c>
      <c r="C730" s="1" t="s">
        <v>70</v>
      </c>
      <c r="E730" s="2" t="str">
        <f>HYPERLINK("https://ui.adsabs.harvard.edu/abs/2020arXiv200307889C/abstract","2020arXiv200307889C")</f>
        <v>2020arXiv200307889C</v>
      </c>
      <c r="G730" s="1" t="s">
        <v>72</v>
      </c>
      <c r="H730" s="1">
        <v>0.9939399</v>
      </c>
      <c r="I730" s="1" t="s">
        <v>967</v>
      </c>
    </row>
    <row r="731">
      <c r="A731" s="2" t="str">
        <f>HYPERLINK("https://ui.adsabs.harvard.edu/abs/2021Quant...5..379M/abstract","2021Quant...5..379M")</f>
        <v>2021Quant...5..379M</v>
      </c>
      <c r="B731" s="2" t="str">
        <f>HYPERLINK("https://ui.adsabs.harvard.edu/abs/2020arXiv200807933M/abstract","2020arXiv200807933M")</f>
        <v>2020arXiv200807933M</v>
      </c>
      <c r="C731" s="1" t="s">
        <v>70</v>
      </c>
      <c r="E731" s="2" t="str">
        <f>HYPERLINK("https://ui.adsabs.harvard.edu/abs/2020arXiv200807933M/abstract","2020arXiv200807933M")</f>
        <v>2020arXiv200807933M</v>
      </c>
      <c r="G731" s="1" t="s">
        <v>72</v>
      </c>
      <c r="H731" s="1">
        <v>0.9939399</v>
      </c>
      <c r="I731" s="1" t="s">
        <v>967</v>
      </c>
    </row>
    <row r="732">
      <c r="A732" s="2" t="str">
        <f>HYPERLINK("https://ui.adsabs.harvard.edu/abs/2021Quant...5..441Y/abstract","2021Quant...5..441Y")</f>
        <v>2021Quant...5..441Y</v>
      </c>
      <c r="B732" s="2" t="str">
        <f>HYPERLINK("https://ui.adsabs.harvard.edu/abs/2020arXiv200305682Y/abstract","2020arXiv200305682Y")</f>
        <v>2020arXiv200305682Y</v>
      </c>
      <c r="C732" s="1" t="s">
        <v>70</v>
      </c>
      <c r="E732" s="2" t="str">
        <f>HYPERLINK("https://ui.adsabs.harvard.edu/abs/2020arXiv200305682Y/abstract","2020arXiv200305682Y")</f>
        <v>2020arXiv200305682Y</v>
      </c>
      <c r="G732" s="1" t="s">
        <v>72</v>
      </c>
      <c r="H732" s="1">
        <v>0.9939399</v>
      </c>
      <c r="I732" s="1" t="s">
        <v>967</v>
      </c>
    </row>
    <row r="733">
      <c r="A733" s="2" t="str">
        <f>HYPERLINK("https://ui.adsabs.harvard.edu/abs/2021Quant...5..472S/abstract","2021Quant...5..472S")</f>
        <v>2021Quant...5..472S</v>
      </c>
      <c r="B733" s="2" t="str">
        <f>HYPERLINK("https://ui.adsabs.harvard.edu/abs/2021arXiv210204608S/abstract","2021arXiv210204608S")</f>
        <v>2021arXiv210204608S</v>
      </c>
      <c r="C733" s="1" t="s">
        <v>70</v>
      </c>
      <c r="E733" s="2" t="str">
        <f>HYPERLINK("https://ui.adsabs.harvard.edu/abs/2021arXiv210204608S/abstract","2021arXiv210204608S")</f>
        <v>2021arXiv210204608S</v>
      </c>
      <c r="G733" s="1" t="s">
        <v>72</v>
      </c>
      <c r="H733" s="1">
        <v>0.9939399</v>
      </c>
      <c r="I733" s="1" t="s">
        <v>967</v>
      </c>
    </row>
    <row r="734">
      <c r="A734" s="2" t="str">
        <f>HYPERLINK("https://ui.adsabs.harvard.edu/abs/2022Quant...6..782K/abstract","2022Quant...6..782K")</f>
        <v>2022Quant...6..782K</v>
      </c>
      <c r="B734" s="2" t="str">
        <f>HYPERLINK("https://ui.adsabs.harvard.edu/abs/2021arXiv210602593K/abstract","2021arXiv210602593K")</f>
        <v>2021arXiv210602593K</v>
      </c>
      <c r="C734" s="1" t="s">
        <v>70</v>
      </c>
      <c r="E734" s="2" t="str">
        <f>HYPERLINK("https://ui.adsabs.harvard.edu/abs/2021arXiv210602593K/abstract","2021arXiv210602593K")</f>
        <v>2021arXiv210602593K</v>
      </c>
      <c r="G734" s="1" t="s">
        <v>72</v>
      </c>
      <c r="H734" s="1">
        <v>0.9939399</v>
      </c>
      <c r="I734" s="1" t="s">
        <v>967</v>
      </c>
    </row>
    <row r="735">
      <c r="A735" s="2" t="str">
        <f>HYPERLINK("https://ui.adsabs.harvard.edu/abs/2022Quant...6..834D/abstract","2022Quant...6..834D")</f>
        <v>2022Quant...6..834D</v>
      </c>
      <c r="B735" s="2" t="str">
        <f>HYPERLINK("https://ui.adsabs.harvard.edu/abs/2021arXiv210503697D/abstract","2021arXiv210503697D")</f>
        <v>2021arXiv210503697D</v>
      </c>
      <c r="C735" s="1" t="s">
        <v>70</v>
      </c>
      <c r="E735" s="2" t="str">
        <f>HYPERLINK("https://ui.adsabs.harvard.edu/abs/2021arXiv210503697D/abstract","2021arXiv210503697D")</f>
        <v>2021arXiv210503697D</v>
      </c>
      <c r="G735" s="1" t="s">
        <v>72</v>
      </c>
      <c r="H735" s="1">
        <v>0.9939399</v>
      </c>
      <c r="I735" s="1" t="s">
        <v>967</v>
      </c>
    </row>
    <row r="736">
      <c r="A736" s="2" t="str">
        <f>HYPERLINK("https://ui.adsabs.harvard.edu/abs/2023PhRvB.107d1405N/abstract","2023PhRvB.107d1405N")</f>
        <v>2023PhRvB.107d1405N</v>
      </c>
      <c r="B736" s="2" t="str">
        <f>HYPERLINK("https://ui.adsabs.harvard.edu/abs/2022arXiv220800891N/abstract","2022arXiv220800891N")</f>
        <v>2022arXiv220800891N</v>
      </c>
      <c r="C736" s="1" t="s">
        <v>70</v>
      </c>
      <c r="E736" s="2" t="str">
        <f>HYPERLINK("https://ui.adsabs.harvard.edu/abs/2022arXiv220800891N/abstract","2022arXiv220800891N")</f>
        <v>2022arXiv220800891N</v>
      </c>
      <c r="G736" s="1" t="s">
        <v>72</v>
      </c>
      <c r="H736" s="1">
        <v>0.9940269</v>
      </c>
      <c r="I736" s="1" t="s">
        <v>968</v>
      </c>
    </row>
    <row r="737">
      <c r="A737" s="2" t="str">
        <f>HYPERLINK("https://ui.adsabs.harvard.edu/abs/2023AnRFM..55...77M/abstract","2023AnRFM..55...77M")</f>
        <v>2023AnRFM..55...77M</v>
      </c>
      <c r="B737" s="2" t="str">
        <f>HYPERLINK("https://ui.adsabs.harvard.edu/abs/2022arXiv220408953M/abstract","2022arXiv220408953M")</f>
        <v>2022arXiv220408953M</v>
      </c>
      <c r="C737" s="1" t="s">
        <v>70</v>
      </c>
      <c r="E737" s="2" t="str">
        <f>HYPERLINK("https://ui.adsabs.harvard.edu/abs/2022arXiv220408953M/abstract","2022arXiv220408953M")</f>
        <v>2022arXiv220408953M</v>
      </c>
      <c r="G737" s="1" t="s">
        <v>72</v>
      </c>
      <c r="H737" s="1">
        <v>0.994152</v>
      </c>
      <c r="I737" s="1" t="s">
        <v>969</v>
      </c>
    </row>
    <row r="738">
      <c r="A738" s="2" t="str">
        <f>HYPERLINK("https://ui.adsabs.harvard.edu/abs/2017Quant...1....3H/abstract","2017Quant...1....3H")</f>
        <v>2017Quant...1....3H</v>
      </c>
      <c r="B738" s="2" t="str">
        <f>HYPERLINK("https://ui.adsabs.harvard.edu/abs/2016arXiv160906114H/abstract","2016arXiv160906114H")</f>
        <v>2016arXiv160906114H</v>
      </c>
      <c r="C738" s="1" t="s">
        <v>70</v>
      </c>
      <c r="E738" s="2" t="str">
        <f>HYPERLINK("https://ui.adsabs.harvard.edu/abs/2016arXiv160906114H/abstract","2016arXiv160906114H")</f>
        <v>2016arXiv160906114H</v>
      </c>
      <c r="G738" s="1" t="s">
        <v>72</v>
      </c>
      <c r="H738" s="1">
        <v>0.9941755</v>
      </c>
      <c r="I738" s="1" t="s">
        <v>970</v>
      </c>
    </row>
    <row r="739">
      <c r="A739" s="2" t="str">
        <f>HYPERLINK("https://ui.adsabs.harvard.edu/abs/2023GeoJI.233.1036L/abstract","2023GeoJI.233.1036L")</f>
        <v>2023GeoJI.233.1036L</v>
      </c>
      <c r="E739" s="2" t="str">
        <f>HYPERLINK("https://ui.adsabs.harvard.edu/abs/2022GeoJI.tmp..492L/abstract","2022GeoJI.tmp..492L")</f>
        <v>2022GeoJI.tmp..492L</v>
      </c>
      <c r="G739" s="1" t="s">
        <v>72</v>
      </c>
      <c r="H739" s="1">
        <v>0.9941755</v>
      </c>
      <c r="I739" s="1" t="s">
        <v>970</v>
      </c>
    </row>
    <row r="740">
      <c r="A740" s="2" t="str">
        <f>HYPERLINK("https://ui.adsabs.harvard.edu/abs/2023PhRvB.107d5126N/abstract","2023PhRvB.107d5126N")</f>
        <v>2023PhRvB.107d5126N</v>
      </c>
      <c r="B740" s="2" t="str">
        <f>HYPERLINK("https://ui.adsabs.harvard.edu/abs/2022arXiv221006569N/abstract","2022arXiv221006569N")</f>
        <v>2022arXiv221006569N</v>
      </c>
      <c r="C740" s="1" t="s">
        <v>70</v>
      </c>
      <c r="E740" s="2" t="str">
        <f>HYPERLINK("https://ui.adsabs.harvard.edu/abs/2022arXiv221006569N/abstract","2022arXiv221006569N")</f>
        <v>2022arXiv221006569N</v>
      </c>
      <c r="G740" s="1" t="s">
        <v>72</v>
      </c>
      <c r="H740" s="1">
        <v>0.9942136</v>
      </c>
      <c r="I740" s="1" t="s">
        <v>971</v>
      </c>
    </row>
    <row r="741">
      <c r="A741" s="2" t="str">
        <f>HYPERLINK("https://ui.adsabs.harvard.edu/abs/2019Quant...3..161P/abstract","2019Quant...3..161P")</f>
        <v>2019Quant...3..161P</v>
      </c>
      <c r="E741" s="2" t="str">
        <f>HYPERLINK("https://ui.adsabs.harvard.edu/abs/2017arXiv171109827P/abstract","2017arXiv171109827P")</f>
        <v>2017arXiv171109827P</v>
      </c>
      <c r="G741" s="1" t="s">
        <v>72</v>
      </c>
      <c r="H741" s="1">
        <v>0.9942171</v>
      </c>
      <c r="I741" s="1" t="s">
        <v>972</v>
      </c>
    </row>
    <row r="742">
      <c r="A742" s="2" t="str">
        <f>HYPERLINK("https://ui.adsabs.harvard.edu/abs/2022Quant...6..826C/abstract","2022Quant...6..826C")</f>
        <v>2022Quant...6..826C</v>
      </c>
      <c r="E742" s="2" t="str">
        <f>HYPERLINK("https://ui.adsabs.harvard.edu/abs/2020arXiv200708431C/abstract","2020arXiv200708431C")</f>
        <v>2020arXiv200708431C</v>
      </c>
      <c r="G742" s="1" t="s">
        <v>72</v>
      </c>
      <c r="H742" s="1">
        <v>0.9942171</v>
      </c>
      <c r="I742" s="1" t="s">
        <v>972</v>
      </c>
    </row>
    <row r="743">
      <c r="A743" s="2" t="str">
        <f>HYPERLINK("https://ui.adsabs.harvard.edu/abs/2023PhRvB.107b4506M/abstract","2023PhRvB.107b4506M")</f>
        <v>2023PhRvB.107b4506M</v>
      </c>
      <c r="B743" s="2" t="str">
        <f>HYPERLINK("https://ui.adsabs.harvard.edu/abs/2022arXiv220506626M/abstract","2022arXiv220506626M")</f>
        <v>2022arXiv220506626M</v>
      </c>
      <c r="C743" s="1" t="s">
        <v>70</v>
      </c>
      <c r="E743" s="2" t="str">
        <f>HYPERLINK("https://ui.adsabs.harvard.edu/abs/2022arXiv220506626M/abstract","2022arXiv220506626M")</f>
        <v>2022arXiv220506626M</v>
      </c>
      <c r="G743" s="1" t="s">
        <v>72</v>
      </c>
      <c r="H743" s="1">
        <v>0.9942694</v>
      </c>
      <c r="I743" s="1" t="s">
        <v>973</v>
      </c>
    </row>
    <row r="744">
      <c r="A744" s="2" t="str">
        <f>HYPERLINK("https://ui.adsabs.harvard.edu/abs/2023EPJC...83...19M/abstract","2023EPJC...83...19M")</f>
        <v>2023EPJC...83...19M</v>
      </c>
      <c r="E744" s="2" t="str">
        <f>HYPERLINK("https://ui.adsabs.harvard.edu/abs/2022arXiv220808736M/abstract","2022arXiv220808736M")</f>
        <v>2022arXiv220808736M</v>
      </c>
      <c r="G744" s="1" t="s">
        <v>72</v>
      </c>
      <c r="H744" s="1">
        <v>0.9942745</v>
      </c>
      <c r="I744" s="1" t="s">
        <v>974</v>
      </c>
    </row>
    <row r="745">
      <c r="A745" s="2" t="str">
        <f>HYPERLINK("https://ui.adsabs.harvard.edu/abs/2023JChPh.158c4104J/abstract","2023JChPh.158c4104J")</f>
        <v>2023JChPh.158c4104J</v>
      </c>
      <c r="B745" s="2" t="str">
        <f>HYPERLINK("https://ui.adsabs.harvard.edu/abs/2022arXiv220801257J/abstract","2022arXiv220801257J")</f>
        <v>2022arXiv220801257J</v>
      </c>
      <c r="C745" s="1" t="s">
        <v>70</v>
      </c>
      <c r="E745" s="2" t="str">
        <f>HYPERLINK("https://ui.adsabs.harvard.edu/abs/2022arXiv220801257J/abstract","2022arXiv220801257J")</f>
        <v>2022arXiv220801257J</v>
      </c>
      <c r="G745" s="1" t="s">
        <v>72</v>
      </c>
      <c r="H745" s="1">
        <v>0.9942745</v>
      </c>
      <c r="I745" s="1" t="s">
        <v>974</v>
      </c>
    </row>
    <row r="746">
      <c r="A746" s="2" t="str">
        <f>HYPERLINK("https://ui.adsabs.harvard.edu/abs/2017Quant...1...31H/abstract","2017Quant...1...31H")</f>
        <v>2017Quant...1...31H</v>
      </c>
      <c r="B746" s="2" t="str">
        <f>HYPERLINK("https://ui.adsabs.harvard.edu/abs/2017arXiv170307847H/abstract","2017arXiv170307847H")</f>
        <v>2017arXiv170307847H</v>
      </c>
      <c r="C746" s="1" t="s">
        <v>70</v>
      </c>
      <c r="E746" s="2" t="str">
        <f>HYPERLINK("https://ui.adsabs.harvard.edu/abs/2017arXiv170307847H/abstract","2017arXiv170307847H")</f>
        <v>2017arXiv170307847H</v>
      </c>
      <c r="G746" s="1" t="s">
        <v>72</v>
      </c>
      <c r="H746" s="1">
        <v>0.9942745</v>
      </c>
      <c r="I746" s="1" t="s">
        <v>974</v>
      </c>
    </row>
    <row r="747">
      <c r="A747" s="2" t="str">
        <f>HYPERLINK("https://ui.adsabs.harvard.edu/abs/2023NatMa..22...50Y/abstract","2023NatMa..22...50Y")</f>
        <v>2023NatMa..22...50Y</v>
      </c>
      <c r="B747" s="2" t="str">
        <f>HYPERLINK("https://ui.adsabs.harvard.edu/abs/2022arXiv221005733Y/abstract","2022arXiv221005733Y")</f>
        <v>2022arXiv221005733Y</v>
      </c>
      <c r="C747" s="1" t="s">
        <v>70</v>
      </c>
      <c r="E747" s="2" t="str">
        <f>HYPERLINK("https://ui.adsabs.harvard.edu/abs/2022arXiv221005733Y/abstract","2022arXiv221005733Y")</f>
        <v>2022arXiv221005733Y</v>
      </c>
      <c r="G747" s="1" t="s">
        <v>72</v>
      </c>
      <c r="H747" s="1">
        <v>0.9943438</v>
      </c>
      <c r="I747" s="1" t="s">
        <v>975</v>
      </c>
    </row>
    <row r="748">
      <c r="A748" s="2" t="str">
        <f>HYPERLINK("https://ui.adsabs.harvard.edu/abs/2018Quant...2...73T/abstract","2018Quant...2...73T")</f>
        <v>2018Quant...2...73T</v>
      </c>
      <c r="B748" s="2" t="str">
        <f>HYPERLINK("https://ui.adsabs.harvard.edu/abs/2017arXiv170801428T/abstract","2017arXiv170801428T")</f>
        <v>2017arXiv170801428T</v>
      </c>
      <c r="C748" s="1" t="s">
        <v>70</v>
      </c>
      <c r="E748" s="2" t="str">
        <f>HYPERLINK("https://ui.adsabs.harvard.edu/abs/2017arXiv170801428T/abstract","2017arXiv170801428T")</f>
        <v>2017arXiv170801428T</v>
      </c>
      <c r="G748" s="1" t="s">
        <v>72</v>
      </c>
      <c r="H748" s="1">
        <v>0.9943841</v>
      </c>
      <c r="I748" s="1" t="s">
        <v>976</v>
      </c>
    </row>
    <row r="749">
      <c r="A749" s="2" t="str">
        <f>HYPERLINK("https://ui.adsabs.harvard.edu/abs/2022Quant...6..878H/abstract","2022Quant...6..878H")</f>
        <v>2022Quant...6..878H</v>
      </c>
      <c r="B749" s="2" t="str">
        <f>HYPERLINK("https://ui.adsabs.harvard.edu/abs/2021arXiv211204501H/abstract","2021arXiv211204501H")</f>
        <v>2021arXiv211204501H</v>
      </c>
      <c r="C749" s="1" t="s">
        <v>70</v>
      </c>
      <c r="E749" s="2" t="str">
        <f>HYPERLINK("https://ui.adsabs.harvard.edu/abs/2021arXiv211204501H/abstract","2021arXiv211204501H")</f>
        <v>2021arXiv211204501H</v>
      </c>
      <c r="G749" s="1" t="s">
        <v>72</v>
      </c>
      <c r="H749" s="1">
        <v>0.9943841</v>
      </c>
      <c r="I749" s="1" t="s">
        <v>976</v>
      </c>
    </row>
    <row r="750">
      <c r="A750" s="2" t="str">
        <f>HYPERLINK("https://ui.adsabs.harvard.edu/abs/2023PhRvC.107a5501F/abstract","2023PhRvC.107a5501F")</f>
        <v>2023PhRvC.107a5501F</v>
      </c>
      <c r="B750" s="2" t="str">
        <f>HYPERLINK("https://ui.adsabs.harvard.edu/abs/2022arXiv220808595F/abstract","2022arXiv220808595F")</f>
        <v>2022arXiv220808595F</v>
      </c>
      <c r="C750" s="1" t="s">
        <v>70</v>
      </c>
      <c r="E750" s="2" t="str">
        <f>HYPERLINK("https://ui.adsabs.harvard.edu/abs/2022arXiv220808595F/abstract","2022arXiv220808595F")</f>
        <v>2022arXiv220808595F</v>
      </c>
      <c r="G750" s="1" t="s">
        <v>72</v>
      </c>
      <c r="H750" s="1">
        <v>0.9944171</v>
      </c>
      <c r="I750" s="1" t="s">
        <v>977</v>
      </c>
    </row>
    <row r="751">
      <c r="A751" s="2" t="str">
        <f>HYPERLINK("https://ui.adsabs.harvard.edu/abs/2019Quant...3..135G/abstract","2019Quant...3..135G")</f>
        <v>2019Quant...3..135G</v>
      </c>
      <c r="B751" s="2" t="str">
        <f>HYPERLINK("https://ui.adsabs.harvard.edu/abs/2018arXiv181201238G/abstract","2018arXiv181201238G")</f>
        <v>2018arXiv181201238G</v>
      </c>
      <c r="C751" s="1" t="s">
        <v>70</v>
      </c>
      <c r="E751" s="2" t="str">
        <f>HYPERLINK("https://ui.adsabs.harvard.edu/abs/2018arXiv181201238G/abstract","2018arXiv181201238G")</f>
        <v>2018arXiv181201238G</v>
      </c>
      <c r="G751" s="1" t="s">
        <v>72</v>
      </c>
      <c r="H751" s="1">
        <v>0.9944171</v>
      </c>
      <c r="I751" s="1" t="s">
        <v>977</v>
      </c>
    </row>
    <row r="752">
      <c r="A752" s="2" t="str">
        <f>HYPERLINK("https://ui.adsabs.harvard.edu/abs/2018Quant...2...87G/abstract","2018Quant...2...87G")</f>
        <v>2018Quant...2...87G</v>
      </c>
      <c r="B752" s="2" t="str">
        <f>HYPERLINK("https://ui.adsabs.harvard.edu/abs/2017arXiv171201225G/abstract","2017arXiv171201225G")</f>
        <v>2017arXiv171201225G</v>
      </c>
      <c r="C752" s="1" t="s">
        <v>70</v>
      </c>
      <c r="E752" s="2" t="str">
        <f>HYPERLINK("https://ui.adsabs.harvard.edu/abs/2017arXiv171201225G/abstract","2017arXiv171201225G")</f>
        <v>2017arXiv171201225G</v>
      </c>
      <c r="G752" s="1" t="s">
        <v>72</v>
      </c>
      <c r="H752" s="1">
        <v>0.9944533</v>
      </c>
      <c r="I752" s="1" t="s">
        <v>978</v>
      </c>
    </row>
    <row r="753">
      <c r="A753" s="2" t="str">
        <f>HYPERLINK("https://ui.adsabs.harvard.edu/abs/2019Quant...3..142S/abstract","2019Quant...3..142S")</f>
        <v>2019Quant...3..142S</v>
      </c>
      <c r="B753" s="2" t="str">
        <f>HYPERLINK("https://ui.adsabs.harvard.edu/abs/2018arXiv180608780S/abstract","2018arXiv180608780S")</f>
        <v>2018arXiv180608780S</v>
      </c>
      <c r="C753" s="1" t="s">
        <v>70</v>
      </c>
      <c r="E753" s="2" t="str">
        <f>HYPERLINK("https://ui.adsabs.harvard.edu/abs/2018arXiv180608780S/abstract","2018arXiv180608780S")</f>
        <v>2018arXiv180608780S</v>
      </c>
      <c r="G753" s="1" t="s">
        <v>72</v>
      </c>
      <c r="H753" s="1">
        <v>0.9944533</v>
      </c>
      <c r="I753" s="1" t="s">
        <v>978</v>
      </c>
    </row>
    <row r="754">
      <c r="A754" s="2" t="str">
        <f>HYPERLINK("https://ui.adsabs.harvard.edu/abs/2019Quant...3..215N/abstract","2019Quant...3..215N")</f>
        <v>2019Quant...3..215N</v>
      </c>
      <c r="E754" s="2" t="str">
        <f>HYPERLINK("https://ui.adsabs.harvard.edu/abs/2018arXiv181208451P/abstract","2018arXiv181208451P")</f>
        <v>2018arXiv181208451P</v>
      </c>
      <c r="G754" s="1" t="s">
        <v>72</v>
      </c>
      <c r="H754" s="1">
        <v>0.9944533</v>
      </c>
      <c r="I754" s="1" t="s">
        <v>978</v>
      </c>
    </row>
    <row r="755">
      <c r="A755" s="2" t="str">
        <f>HYPERLINK("https://ui.adsabs.harvard.edu/abs/2020Quant...4..280W/abstract","2020Quant...4..280W")</f>
        <v>2020Quant...4..280W</v>
      </c>
      <c r="B755" s="2" t="str">
        <f>HYPERLINK("https://ui.adsabs.harvard.edu/abs/2019arXiv190306311W/abstract","2019arXiv190306311W")</f>
        <v>2019arXiv190306311W</v>
      </c>
      <c r="C755" s="1" t="s">
        <v>70</v>
      </c>
      <c r="E755" s="2" t="str">
        <f>HYPERLINK("https://ui.adsabs.harvard.edu/abs/2019arXiv190306311W/abstract","2019arXiv190306311W")</f>
        <v>2019arXiv190306311W</v>
      </c>
      <c r="G755" s="1" t="s">
        <v>72</v>
      </c>
      <c r="H755" s="1">
        <v>0.9944533</v>
      </c>
      <c r="I755" s="1" t="s">
        <v>978</v>
      </c>
    </row>
    <row r="756">
      <c r="A756" s="2" t="str">
        <f>HYPERLINK("https://ui.adsabs.harvard.edu/abs/2020Quant...4..317S/abstract","2020Quant...4..317S")</f>
        <v>2020Quant...4..317S</v>
      </c>
      <c r="B756" s="2" t="str">
        <f>HYPERLINK("https://ui.adsabs.harvard.edu/abs/2019arXiv191111703S/abstract","2019arXiv191111703S")</f>
        <v>2019arXiv191111703S</v>
      </c>
      <c r="C756" s="1" t="s">
        <v>70</v>
      </c>
      <c r="E756" s="2" t="str">
        <f>HYPERLINK("https://ui.adsabs.harvard.edu/abs/2019arXiv191111703S/abstract","2019arXiv191111703S")</f>
        <v>2019arXiv191111703S</v>
      </c>
      <c r="G756" s="1" t="s">
        <v>72</v>
      </c>
      <c r="H756" s="1">
        <v>0.9944533</v>
      </c>
      <c r="I756" s="1" t="s">
        <v>978</v>
      </c>
    </row>
    <row r="757">
      <c r="A757" s="2" t="str">
        <f>HYPERLINK("https://ui.adsabs.harvard.edu/abs/2020Quant...4..377H/abstract","2020Quant...4..377H")</f>
        <v>2020Quant...4..377H</v>
      </c>
      <c r="B757" s="2" t="str">
        <f>HYPERLINK("https://ui.adsabs.harvard.edu/abs/2020arXiv200809327H/abstract","2020arXiv200809327H")</f>
        <v>2020arXiv200809327H</v>
      </c>
      <c r="C757" s="1" t="s">
        <v>70</v>
      </c>
      <c r="E757" s="2" t="str">
        <f>HYPERLINK("https://ui.adsabs.harvard.edu/abs/2020arXiv200809327H/abstract","2020arXiv200809327H")</f>
        <v>2020arXiv200809327H</v>
      </c>
      <c r="G757" s="1" t="s">
        <v>72</v>
      </c>
      <c r="H757" s="1">
        <v>0.9944533</v>
      </c>
      <c r="I757" s="1" t="s">
        <v>978</v>
      </c>
    </row>
    <row r="758">
      <c r="A758" s="2" t="str">
        <f>HYPERLINK("https://ui.adsabs.harvard.edu/abs/2021Quant...5..493M/abstract","2021Quant...5..493M")</f>
        <v>2021Quant...5..493M</v>
      </c>
      <c r="B758" s="2" t="str">
        <f>HYPERLINK("https://ui.adsabs.harvard.edu/abs/2021arXiv210211805M/abstract","2021arXiv210211805M")</f>
        <v>2021arXiv210211805M</v>
      </c>
      <c r="C758" s="1" t="s">
        <v>70</v>
      </c>
      <c r="E758" s="2" t="str">
        <f>HYPERLINK("https://ui.adsabs.harvard.edu/abs/2021arXiv210211805M/abstract","2021arXiv210211805M")</f>
        <v>2021arXiv210211805M</v>
      </c>
      <c r="G758" s="1" t="s">
        <v>72</v>
      </c>
      <c r="H758" s="1">
        <v>0.9944533</v>
      </c>
      <c r="I758" s="1" t="s">
        <v>978</v>
      </c>
    </row>
    <row r="759">
      <c r="A759" s="2" t="str">
        <f>HYPERLINK("https://ui.adsabs.harvard.edu/abs/2022Quant...6..778C/abstract","2022Quant...6..778C")</f>
        <v>2022Quant...6..778C</v>
      </c>
      <c r="E759" s="2" t="str">
        <f>HYPERLINK("https://ui.adsabs.harvard.edu/abs/2022arXiv220309429P/abstract","2022arXiv220309429P")</f>
        <v>2022arXiv220309429P</v>
      </c>
      <c r="G759" s="1" t="s">
        <v>72</v>
      </c>
      <c r="H759" s="1">
        <v>0.9944533</v>
      </c>
      <c r="I759" s="1" t="s">
        <v>978</v>
      </c>
    </row>
    <row r="760">
      <c r="A760" s="2" t="str">
        <f>HYPERLINK("https://ui.adsabs.harvard.edu/abs/2023JETPL.tmp....3K/abstract","2023JETPL.tmp....3K")</f>
        <v>2023JETPL.tmp....3K</v>
      </c>
      <c r="B760" s="2" t="str">
        <f>HYPERLINK("https://ui.adsabs.harvard.edu/abs/2022arXiv221013096K/abstract","2022arXiv221013096K")</f>
        <v>2022arXiv221013096K</v>
      </c>
      <c r="C760" s="1" t="s">
        <v>70</v>
      </c>
      <c r="E760" s="2" t="str">
        <f>HYPERLINK("https://ui.adsabs.harvard.edu/abs/2022arXiv221013096K/abstract","2022arXiv221013096K")</f>
        <v>2022arXiv221013096K</v>
      </c>
      <c r="G760" s="1" t="s">
        <v>72</v>
      </c>
      <c r="H760" s="1">
        <v>0.994476</v>
      </c>
      <c r="I760" s="1" t="s">
        <v>979</v>
      </c>
    </row>
    <row r="761">
      <c r="A761" s="2" t="str">
        <f>HYPERLINK("https://ui.adsabs.harvard.edu/abs/2023JHEP...01..036D/abstract","2023JHEP...01..036D")</f>
        <v>2023JHEP...01..036D</v>
      </c>
      <c r="B761" s="2" t="str">
        <f>HYPERLINK("https://ui.adsabs.harvard.edu/abs/2022arXiv220908796D/abstract","2022arXiv220908796D")</f>
        <v>2022arXiv220908796D</v>
      </c>
      <c r="C761" s="1" t="s">
        <v>70</v>
      </c>
      <c r="E761" s="2" t="str">
        <f>HYPERLINK("https://ui.adsabs.harvard.edu/abs/2022arXiv220908796D/abstract","2022arXiv220908796D")</f>
        <v>2022arXiv220908796D</v>
      </c>
      <c r="G761" s="1" t="s">
        <v>72</v>
      </c>
      <c r="H761" s="1">
        <v>0.994476</v>
      </c>
      <c r="I761" s="1" t="s">
        <v>979</v>
      </c>
    </row>
    <row r="762">
      <c r="A762" s="2" t="str">
        <f>HYPERLINK("https://ui.adsabs.harvard.edu/abs/2023ApPhL.122c2202C/abstract","2023ApPhL.122c2202C")</f>
        <v>2023ApPhL.122c2202C</v>
      </c>
      <c r="B762" s="2" t="str">
        <f>HYPERLINK("https://ui.adsabs.harvard.edu/abs/2022arXiv220701176C/abstract","2022arXiv220701176C")</f>
        <v>2022arXiv220701176C</v>
      </c>
      <c r="C762" s="1" t="s">
        <v>70</v>
      </c>
      <c r="E762" s="2" t="str">
        <f>HYPERLINK("https://ui.adsabs.harvard.edu/abs/2022arXiv220701176C/abstract","2022arXiv220701176C")</f>
        <v>2022arXiv220701176C</v>
      </c>
      <c r="G762" s="1" t="s">
        <v>72</v>
      </c>
      <c r="H762" s="1">
        <v>0.994476</v>
      </c>
      <c r="I762" s="1" t="s">
        <v>979</v>
      </c>
    </row>
    <row r="763">
      <c r="A763" s="2" t="str">
        <f>HYPERLINK("https://ui.adsabs.harvard.edu/abs/2023PhRvD.107b4016T/abstract","2023PhRvD.107b4016T")</f>
        <v>2023PhRvD.107b4016T</v>
      </c>
      <c r="B763" s="2" t="str">
        <f>HYPERLINK("https://ui.adsabs.harvard.edu/abs/2022arXiv220914873T/abstract","2022arXiv220914873T")</f>
        <v>2022arXiv220914873T</v>
      </c>
      <c r="C763" s="1" t="s">
        <v>70</v>
      </c>
      <c r="E763" s="2" t="str">
        <f>HYPERLINK("https://ui.adsabs.harvard.edu/abs/2022arXiv220914873T/abstract","2022arXiv220914873T")</f>
        <v>2022arXiv220914873T</v>
      </c>
      <c r="G763" s="1" t="s">
        <v>72</v>
      </c>
      <c r="H763" s="1">
        <v>0.994476</v>
      </c>
      <c r="I763" s="1" t="s">
        <v>979</v>
      </c>
    </row>
    <row r="764">
      <c r="A764" s="2" t="str">
        <f>HYPERLINK("https://ui.adsabs.harvard.edu/abs/2017Quant...1...21P/abstract","2017Quant...1...21P")</f>
        <v>2017Quant...1...21P</v>
      </c>
      <c r="B764" s="2" t="str">
        <f>HYPERLINK("https://ui.adsabs.harvard.edu/abs/2016arXiv161204828P/abstract","2016arXiv161204828P")</f>
        <v>2016arXiv161204828P</v>
      </c>
      <c r="C764" s="1" t="s">
        <v>70</v>
      </c>
      <c r="E764" s="2" t="str">
        <f>HYPERLINK("https://ui.adsabs.harvard.edu/abs/2016arXiv161204828P/abstract","2016arXiv161204828P")</f>
        <v>2016arXiv161204828P</v>
      </c>
      <c r="G764" s="1" t="s">
        <v>72</v>
      </c>
      <c r="H764" s="1">
        <v>0.994476</v>
      </c>
      <c r="I764" s="1" t="s">
        <v>979</v>
      </c>
    </row>
    <row r="765">
      <c r="A765" s="2" t="str">
        <f>HYPERLINK("https://ui.adsabs.harvard.edu/abs/2023PhRvB.107c5137T/abstract","2023PhRvB.107c5137T")</f>
        <v>2023PhRvB.107c5137T</v>
      </c>
      <c r="B765" s="2" t="str">
        <f>HYPERLINK("https://ui.adsabs.harvard.edu/abs/2022arXiv220502280T/abstract","2022arXiv220502280T")</f>
        <v>2022arXiv220502280T</v>
      </c>
      <c r="C765" s="1" t="s">
        <v>70</v>
      </c>
      <c r="E765" s="2" t="str">
        <f>HYPERLINK("https://ui.adsabs.harvard.edu/abs/2022arXiv220502280T/abstract","2022arXiv220502280T")</f>
        <v>2022arXiv220502280T</v>
      </c>
      <c r="G765" s="1" t="s">
        <v>72</v>
      </c>
      <c r="H765" s="1">
        <v>0.9945562</v>
      </c>
      <c r="I765" s="1" t="s">
        <v>980</v>
      </c>
    </row>
    <row r="766">
      <c r="A766" s="2" t="str">
        <f>HYPERLINK("https://ui.adsabs.harvard.edu/abs/2023PhRvB.107c5130A/abstract","2023PhRvB.107c5130A")</f>
        <v>2023PhRvB.107c5130A</v>
      </c>
      <c r="B766" s="2" t="str">
        <f>HYPERLINK("https://ui.adsabs.harvard.edu/abs/2022arXiv221011824A/abstract","2022arXiv221011824A")</f>
        <v>2022arXiv221011824A</v>
      </c>
      <c r="C766" s="1" t="s">
        <v>70</v>
      </c>
      <c r="E766" s="2" t="str">
        <f>HYPERLINK("https://ui.adsabs.harvard.edu/abs/2022arXiv221011824A/abstract","2022arXiv221011824A")</f>
        <v>2022arXiv221011824A</v>
      </c>
      <c r="G766" s="1" t="s">
        <v>72</v>
      </c>
      <c r="H766" s="1">
        <v>0.9946083</v>
      </c>
      <c r="I766" s="1" t="s">
        <v>981</v>
      </c>
    </row>
    <row r="767">
      <c r="A767" s="2" t="str">
        <f>HYPERLINK("https://ui.adsabs.harvard.edu/abs/2023LaPhL..20c0001Z/abstract","2023LaPhL..20c0001Z")</f>
        <v>2023LaPhL..20c0001Z</v>
      </c>
      <c r="E767" s="2" t="str">
        <f>HYPERLINK("https://ui.adsabs.harvard.edu/abs/2022arXiv220210557Z/abstract","2022arXiv220210557Z")</f>
        <v>2022arXiv220210557Z</v>
      </c>
      <c r="G767" s="1" t="s">
        <v>72</v>
      </c>
      <c r="H767" s="1">
        <v>0.9946136</v>
      </c>
      <c r="I767" s="1" t="s">
        <v>982</v>
      </c>
    </row>
    <row r="768">
      <c r="A768" s="2" t="str">
        <f>HYPERLINK("https://ui.adsabs.harvard.edu/abs/2023PhRvA.107a2213D/abstract","2023PhRvA.107a2213D")</f>
        <v>2023PhRvA.107a2213D</v>
      </c>
      <c r="B768" s="2" t="str">
        <f>HYPERLINK("https://ui.adsabs.harvard.edu/abs/2022arXiv221200410D/abstract","2022arXiv221200410D")</f>
        <v>2022arXiv221200410D</v>
      </c>
      <c r="C768" s="1" t="s">
        <v>70</v>
      </c>
      <c r="E768" s="2" t="str">
        <f>HYPERLINK("https://ui.adsabs.harvard.edu/abs/2022arXiv221200410D/abstract","2022arXiv221200410D")</f>
        <v>2022arXiv221200410D</v>
      </c>
      <c r="G768" s="1" t="s">
        <v>72</v>
      </c>
      <c r="H768" s="1">
        <v>0.9946136</v>
      </c>
      <c r="I768" s="1" t="s">
        <v>982</v>
      </c>
    </row>
    <row r="769">
      <c r="A769" s="2" t="str">
        <f>HYPERLINK("https://ui.adsabs.harvard.edu/abs/2023PhRvB.107d5122W/abstract","2023PhRvB.107d5122W")</f>
        <v>2023PhRvB.107d5122W</v>
      </c>
      <c r="B769" s="2" t="str">
        <f>HYPERLINK("https://ui.adsabs.harvard.edu/abs/2022arXiv220711468W/abstract","2022arXiv220711468W")</f>
        <v>2022arXiv220711468W</v>
      </c>
      <c r="C769" s="1" t="s">
        <v>70</v>
      </c>
      <c r="E769" s="2" t="str">
        <f>HYPERLINK("https://ui.adsabs.harvard.edu/abs/2022arXiv220711468W/abstract","2022arXiv220711468W")</f>
        <v>2022arXiv220711468W</v>
      </c>
      <c r="G769" s="1" t="s">
        <v>72</v>
      </c>
      <c r="H769" s="1">
        <v>0.9946136</v>
      </c>
      <c r="I769" s="1" t="s">
        <v>982</v>
      </c>
    </row>
    <row r="770">
      <c r="A770" s="2" t="str">
        <f>HYPERLINK("https://ui.adsabs.harvard.edu/abs/2023ITAP...71..518R/abstract","2023ITAP...71..518R")</f>
        <v>2023ITAP...71..518R</v>
      </c>
      <c r="C770" s="1" t="s">
        <v>12</v>
      </c>
      <c r="E770" s="2" t="str">
        <f>HYPERLINK("https://ui.adsabs.harvard.edu/abs/2021arXiv211211194R/abstract","2021arXiv211211194R")</f>
        <v>2021arXiv211211194R</v>
      </c>
      <c r="G770" s="1" t="s">
        <v>72</v>
      </c>
      <c r="H770" s="1">
        <v>0.9946182</v>
      </c>
      <c r="I770" s="1" t="s">
        <v>983</v>
      </c>
    </row>
    <row r="771">
      <c r="A771" s="2" t="str">
        <f>HYPERLINK("https://ui.adsabs.harvard.edu/abs/2023NatPh..19...40D/abstract","2023NatPh..19...40D")</f>
        <v>2023NatPh..19...40D</v>
      </c>
      <c r="B771" s="2" t="str">
        <f>HYPERLINK("https://ui.adsabs.harvard.edu/abs/2022arXiv220907137D/abstract","2022arXiv220907137D")</f>
        <v>2022arXiv220907137D</v>
      </c>
      <c r="C771" s="1" t="s">
        <v>70</v>
      </c>
      <c r="E771" s="2" t="str">
        <f>HYPERLINK("https://ui.adsabs.harvard.edu/abs/2022arXiv220907137D/abstract","2022arXiv220907137D")</f>
        <v>2022arXiv220907137D</v>
      </c>
      <c r="G771" s="1" t="s">
        <v>72</v>
      </c>
      <c r="H771" s="1">
        <v>0.9946221</v>
      </c>
      <c r="I771" s="1" t="s">
        <v>984</v>
      </c>
    </row>
    <row r="772">
      <c r="A772" s="2" t="str">
        <f>HYPERLINK("https://ui.adsabs.harvard.edu/abs/2020Quant...4..264D/abstract","2020Quant...4..264D")</f>
        <v>2020Quant...4..264D</v>
      </c>
      <c r="E772" s="2" t="str">
        <f>HYPERLINK("https://ui.adsabs.harvard.edu/abs/2018arXiv180505224D/abstract","2018arXiv180505224D")</f>
        <v>2018arXiv180505224D</v>
      </c>
      <c r="G772" s="1" t="s">
        <v>72</v>
      </c>
      <c r="H772" s="1">
        <v>0.9946603</v>
      </c>
      <c r="I772" s="1" t="s">
        <v>985</v>
      </c>
    </row>
    <row r="773">
      <c r="A773" s="2" t="str">
        <f>HYPERLINK("https://ui.adsabs.harvard.edu/abs/2023CmPhy...6...10M/abstract","2023CmPhy...6...10M")</f>
        <v>2023CmPhy...6...10M</v>
      </c>
      <c r="B773" s="2" t="str">
        <f>HYPERLINK("https://ui.adsabs.harvard.edu/abs/2022arXiv220207658M/abstract","2022arXiv220207658M")</f>
        <v>2022arXiv220207658M</v>
      </c>
      <c r="C773" s="1" t="s">
        <v>70</v>
      </c>
      <c r="E773" s="2" t="str">
        <f>HYPERLINK("https://ui.adsabs.harvard.edu/abs/2022arXiv220207658M/abstract","2022arXiv220207658M")</f>
        <v>2022arXiv220207658M</v>
      </c>
      <c r="G773" s="1" t="s">
        <v>72</v>
      </c>
      <c r="H773" s="1">
        <v>0.9946703</v>
      </c>
      <c r="I773" s="1" t="s">
        <v>986</v>
      </c>
    </row>
    <row r="774">
      <c r="A774" s="2" t="str">
        <f>HYPERLINK("https://ui.adsabs.harvard.edu/abs/2023JChPh.158c4103J/abstract","2023JChPh.158c4103J")</f>
        <v>2023JChPh.158c4103J</v>
      </c>
      <c r="B774" s="2" t="str">
        <f>HYPERLINK("https://ui.adsabs.harvard.edu/abs/2022arXiv220800078J/abstract","2022arXiv220800078J")</f>
        <v>2022arXiv220800078J</v>
      </c>
      <c r="C774" s="1" t="s">
        <v>70</v>
      </c>
      <c r="E774" s="2" t="str">
        <f>HYPERLINK("https://ui.adsabs.harvard.edu/abs/2022arXiv220800078J/abstract","2022arXiv220800078J")</f>
        <v>2022arXiv220800078J</v>
      </c>
      <c r="G774" s="1" t="s">
        <v>72</v>
      </c>
      <c r="H774" s="1">
        <v>0.9946703</v>
      </c>
      <c r="I774" s="1" t="s">
        <v>986</v>
      </c>
    </row>
    <row r="775">
      <c r="A775" s="2" t="str">
        <f>HYPERLINK("https://ui.adsabs.harvard.edu/abs/2023PhRvB.107d1407H/abstract","2023PhRvB.107d1407H")</f>
        <v>2023PhRvB.107d1407H</v>
      </c>
      <c r="B775" s="2" t="str">
        <f>HYPERLINK("https://ui.adsabs.harvard.edu/abs/2022arXiv220614957H/abstract","2022arXiv220614957H")</f>
        <v>2022arXiv220614957H</v>
      </c>
      <c r="C775" s="1" t="s">
        <v>70</v>
      </c>
      <c r="E775" s="2" t="str">
        <f>HYPERLINK("https://ui.adsabs.harvard.edu/abs/2022arXiv220614957H/abstract","2022arXiv220614957H")</f>
        <v>2022arXiv220614957H</v>
      </c>
      <c r="G775" s="1" t="s">
        <v>72</v>
      </c>
      <c r="H775" s="1">
        <v>0.9946703</v>
      </c>
      <c r="I775" s="1" t="s">
        <v>986</v>
      </c>
    </row>
    <row r="776">
      <c r="A776" s="2" t="str">
        <f>HYPERLINK("https://ui.adsabs.harvard.edu/abs/2017Quant...1...11R/abstract","2017Quant...1...11R")</f>
        <v>2017Quant...1...11R</v>
      </c>
      <c r="B776" s="2" t="str">
        <f>HYPERLINK("https://ui.adsabs.harvard.edu/abs/2016arXiv160304424R/abstract","2016arXiv160304424R")</f>
        <v>2016arXiv160304424R</v>
      </c>
      <c r="C776" s="1" t="s">
        <v>70</v>
      </c>
      <c r="E776" s="2" t="str">
        <f>HYPERLINK("https://ui.adsabs.harvard.edu/abs/2016arXiv160304424R/abstract","2016arXiv160304424R")</f>
        <v>2016arXiv160304424R</v>
      </c>
      <c r="G776" s="1" t="s">
        <v>72</v>
      </c>
      <c r="H776" s="1">
        <v>0.9946703</v>
      </c>
      <c r="I776" s="1" t="s">
        <v>986</v>
      </c>
    </row>
    <row r="777">
      <c r="A777" s="2" t="str">
        <f>HYPERLINK("https://ui.adsabs.harvard.edu/abs/2017Quant...1...24K/abstract","2017Quant...1...24K")</f>
        <v>2017Quant...1...24K</v>
      </c>
      <c r="B777" s="2" t="str">
        <f>HYPERLINK("https://ui.adsabs.harvard.edu/abs/2016arXiv160901397K/abstract","2016arXiv160901397K")</f>
        <v>2016arXiv160901397K</v>
      </c>
      <c r="C777" s="1" t="s">
        <v>70</v>
      </c>
      <c r="E777" s="2" t="str">
        <f>HYPERLINK("https://ui.adsabs.harvard.edu/abs/2016arXiv160901397K/abstract","2016arXiv160901397K")</f>
        <v>2016arXiv160901397K</v>
      </c>
      <c r="G777" s="1" t="s">
        <v>72</v>
      </c>
      <c r="H777" s="1">
        <v>0.9946703</v>
      </c>
      <c r="I777" s="1" t="s">
        <v>986</v>
      </c>
    </row>
    <row r="778">
      <c r="A778" s="2" t="str">
        <f>HYPERLINK("https://ui.adsabs.harvard.edu/abs/2020Quant...4..347H/abstract","2020Quant...4..347H")</f>
        <v>2020Quant...4..347H</v>
      </c>
      <c r="B778" s="2" t="str">
        <f>HYPERLINK("https://ui.adsabs.harvard.edu/abs/2020arXiv200604412H/abstract","2020arXiv200604412H")</f>
        <v>2020arXiv200604412H</v>
      </c>
      <c r="C778" s="1" t="s">
        <v>70</v>
      </c>
      <c r="E778" s="2" t="str">
        <f>HYPERLINK("https://ui.adsabs.harvard.edu/abs/2020arXiv200604412H/abstract","2020arXiv200604412H")</f>
        <v>2020arXiv200604412H</v>
      </c>
      <c r="G778" s="1" t="s">
        <v>72</v>
      </c>
      <c r="H778" s="1">
        <v>0.9946703</v>
      </c>
      <c r="I778" s="1" t="s">
        <v>986</v>
      </c>
    </row>
    <row r="779">
      <c r="A779" s="2" t="str">
        <f>HYPERLINK("https://ui.adsabs.harvard.edu/abs/2019Quant...3..186V/abstract","2019Quant...3..186V")</f>
        <v>2019Quant...3..186V</v>
      </c>
      <c r="B779" s="2" t="str">
        <f>HYPERLINK("https://ui.adsabs.harvard.edu/abs/2018arXiv180404119V/abstract","2018arXiv180404119V")</f>
        <v>2018arXiv180404119V</v>
      </c>
      <c r="C779" s="1" t="s">
        <v>70</v>
      </c>
      <c r="E779" s="2" t="str">
        <f>HYPERLINK("https://ui.adsabs.harvard.edu/abs/2018arXiv180404119V/abstract","2018arXiv180404119V")</f>
        <v>2018arXiv180404119V</v>
      </c>
      <c r="G779" s="1" t="s">
        <v>72</v>
      </c>
      <c r="H779" s="1">
        <v>0.9947402</v>
      </c>
      <c r="I779" s="1" t="s">
        <v>987</v>
      </c>
    </row>
    <row r="780">
      <c r="A780" s="2" t="str">
        <f>HYPERLINK("https://ui.adsabs.harvard.edu/abs/2021Quant...5..557N/abstract","2021Quant...5..557N")</f>
        <v>2021Quant...5..557N</v>
      </c>
      <c r="B780" s="2" t="str">
        <f>HYPERLINK("https://ui.adsabs.harvard.edu/abs/2020arXiv200907301N/abstract","2020arXiv200907301N")</f>
        <v>2020arXiv200907301N</v>
      </c>
      <c r="C780" s="1" t="s">
        <v>70</v>
      </c>
      <c r="E780" s="2" t="str">
        <f>HYPERLINK("https://ui.adsabs.harvard.edu/abs/2020arXiv200907301N/abstract","2020arXiv200907301N")</f>
        <v>2020arXiv200907301N</v>
      </c>
      <c r="G780" s="1" t="s">
        <v>72</v>
      </c>
      <c r="H780" s="1">
        <v>0.9947402</v>
      </c>
      <c r="I780" s="1" t="s">
        <v>987</v>
      </c>
    </row>
    <row r="781">
      <c r="A781" s="2" t="str">
        <f>HYPERLINK("https://ui.adsabs.harvard.edu/abs/2021Quant...5..569G/abstract","2021Quant...5..569G")</f>
        <v>2021Quant...5..569G</v>
      </c>
      <c r="B781" s="2" t="str">
        <f>HYPERLINK("https://ui.adsabs.harvard.edu/abs/2020arXiv200101889G/abstract","2020arXiv200101889G")</f>
        <v>2020arXiv200101889G</v>
      </c>
      <c r="C781" s="1" t="s">
        <v>70</v>
      </c>
      <c r="E781" s="2" t="str">
        <f>HYPERLINK("https://ui.adsabs.harvard.edu/abs/2020arXiv200101889G/abstract","2020arXiv200101889G")</f>
        <v>2020arXiv200101889G</v>
      </c>
      <c r="G781" s="1" t="s">
        <v>72</v>
      </c>
      <c r="H781" s="1">
        <v>0.9947402</v>
      </c>
      <c r="I781" s="1" t="s">
        <v>987</v>
      </c>
    </row>
    <row r="782">
      <c r="A782" s="2" t="str">
        <f>HYPERLINK("https://ui.adsabs.harvard.edu/abs/2022Quant...6..810Z/abstract","2022Quant...6..810Z")</f>
        <v>2022Quant...6..810Z</v>
      </c>
      <c r="B782" s="2" t="str">
        <f>HYPERLINK("https://ui.adsabs.harvard.edu/abs/2021arXiv210709686Z/abstract","2021arXiv210709686Z")</f>
        <v>2021arXiv210709686Z</v>
      </c>
      <c r="C782" s="1" t="s">
        <v>70</v>
      </c>
      <c r="E782" s="2" t="str">
        <f>HYPERLINK("https://ui.adsabs.harvard.edu/abs/2021arXiv210709686Z/abstract","2021arXiv210709686Z")</f>
        <v>2021arXiv210709686Z</v>
      </c>
      <c r="G782" s="1" t="s">
        <v>72</v>
      </c>
      <c r="H782" s="1">
        <v>0.9947402</v>
      </c>
      <c r="I782" s="1" t="s">
        <v>987</v>
      </c>
    </row>
    <row r="783">
      <c r="A783" s="2" t="str">
        <f>HYPERLINK("https://ui.adsabs.harvard.edu/abs/2023PhRvL.130c1602P/abstract","2023PhRvL.130c1602P")</f>
        <v>2023PhRvL.130c1602P</v>
      </c>
      <c r="B783" s="2" t="str">
        <f>HYPERLINK("https://ui.adsabs.harvard.edu/abs/2022arXiv220914883P/abstract","2022arXiv220914883P")</f>
        <v>2022arXiv220914883P</v>
      </c>
      <c r="C783" s="1" t="s">
        <v>70</v>
      </c>
      <c r="E783" s="2" t="str">
        <f>HYPERLINK("https://ui.adsabs.harvard.edu/abs/2022arXiv220914883P/abstract","2022arXiv220914883P")</f>
        <v>2022arXiv220914883P</v>
      </c>
      <c r="G783" s="1" t="s">
        <v>72</v>
      </c>
      <c r="H783" s="1">
        <v>0.9948031</v>
      </c>
      <c r="I783" s="1" t="s">
        <v>988</v>
      </c>
    </row>
    <row r="784">
      <c r="A784" s="2" t="str">
        <f>HYPERLINK("https://ui.adsabs.harvard.edu/abs/2017Quant...1...29T/abstract","2017Quant...1...29T")</f>
        <v>2017Quant...1...29T</v>
      </c>
      <c r="E784" s="2" t="str">
        <f>HYPERLINK("https://ui.adsabs.harvard.edu/abs/2017arXiv170101948T/abstract","2017arXiv170101948T")</f>
        <v>2017arXiv170101948T</v>
      </c>
      <c r="G784" s="1" t="s">
        <v>72</v>
      </c>
      <c r="H784" s="1">
        <v>0.9948031</v>
      </c>
      <c r="I784" s="1" t="s">
        <v>988</v>
      </c>
    </row>
    <row r="785">
      <c r="A785" s="2" t="str">
        <f>HYPERLINK("https://ui.adsabs.harvard.edu/abs/2020Quant...4..239T/abstract","2020Quant...4..239T")</f>
        <v>2020Quant...4..239T</v>
      </c>
      <c r="E785" s="2" t="str">
        <f>HYPERLINK("https://ui.adsabs.harvard.edu/abs/2019arXiv190810314T/abstract","2019arXiv190810314T")</f>
        <v>2019arXiv190810314T</v>
      </c>
      <c r="G785" s="1" t="s">
        <v>72</v>
      </c>
      <c r="H785" s="1">
        <v>0.9948031</v>
      </c>
      <c r="I785" s="1" t="s">
        <v>988</v>
      </c>
    </row>
    <row r="786">
      <c r="A786" s="2" t="str">
        <f>HYPERLINK("https://ui.adsabs.harvard.edu/abs/2023JMP....64a3304D/abstract","2023JMP....64a3304D")</f>
        <v>2023JMP....64a3304D</v>
      </c>
      <c r="B786" s="2" t="str">
        <f>HYPERLINK("https://ui.adsabs.harvard.edu/abs/2022arXiv221002268D/abstract","2022arXiv221002268D")</f>
        <v>2022arXiv221002268D</v>
      </c>
      <c r="C786" s="1" t="s">
        <v>70</v>
      </c>
      <c r="E786" s="2" t="str">
        <f>HYPERLINK("https://ui.adsabs.harvard.edu/abs/2022arXiv221002268D/abstract","2022arXiv221002268D")</f>
        <v>2022arXiv221002268D</v>
      </c>
      <c r="G786" s="1" t="s">
        <v>72</v>
      </c>
      <c r="H786" s="1">
        <v>0.9948579</v>
      </c>
      <c r="I786" s="1" t="s">
        <v>989</v>
      </c>
    </row>
    <row r="787">
      <c r="A787" s="2" t="str">
        <f>HYPERLINK("https://ui.adsabs.harvard.edu/abs/2023JDE...352..249X/abstract","2023JDE...352..249X")</f>
        <v>2023JDE...352..249X</v>
      </c>
      <c r="B787" s="2" t="str">
        <f>HYPERLINK("https://ui.adsabs.harvard.edu/abs/2023arXiv230105807X/abstract","2023arXiv230105807X")</f>
        <v>2023arXiv230105807X</v>
      </c>
      <c r="C787" s="1" t="s">
        <v>70</v>
      </c>
      <c r="E787" s="2" t="str">
        <f>HYPERLINK("https://ui.adsabs.harvard.edu/abs/2023arXiv230105807X/abstract","2023arXiv230105807X")</f>
        <v>2023arXiv230105807X</v>
      </c>
      <c r="G787" s="1" t="s">
        <v>72</v>
      </c>
      <c r="H787" s="1">
        <v>0.9948579</v>
      </c>
      <c r="I787" s="1" t="s">
        <v>989</v>
      </c>
    </row>
    <row r="788">
      <c r="A788" s="2" t="str">
        <f>HYPERLINK("https://ui.adsabs.harvard.edu/abs/2023PhRvB.107c5306G/abstract","2023PhRvB.107c5306G")</f>
        <v>2023PhRvB.107c5306G</v>
      </c>
      <c r="B788" s="2" t="str">
        <f>HYPERLINK("https://ui.adsabs.harvard.edu/abs/2022arXiv220910164G/abstract","2022arXiv220910164G")</f>
        <v>2022arXiv220910164G</v>
      </c>
      <c r="C788" s="1" t="s">
        <v>70</v>
      </c>
      <c r="E788" s="2" t="str">
        <f>HYPERLINK("https://ui.adsabs.harvard.edu/abs/2022arXiv220910164G/abstract","2022arXiv220910164G")</f>
        <v>2022arXiv220910164G</v>
      </c>
      <c r="G788" s="1" t="s">
        <v>72</v>
      </c>
      <c r="H788" s="1">
        <v>0.9948579</v>
      </c>
      <c r="I788" s="1" t="s">
        <v>989</v>
      </c>
    </row>
    <row r="789">
      <c r="A789" s="2" t="str">
        <f>HYPERLINK("https://ui.adsabs.harvard.edu/abs/2017Quant...1...35R/abstract","2017Quant...1...35R")</f>
        <v>2017Quant...1...35R</v>
      </c>
      <c r="B789" s="2" t="str">
        <f>HYPERLINK("https://ui.adsabs.harvard.edu/abs/2017arXiv170405469R/abstract","2017arXiv170405469R")</f>
        <v>2017arXiv170405469R</v>
      </c>
      <c r="C789" s="1" t="s">
        <v>70</v>
      </c>
      <c r="E789" s="2" t="str">
        <f>HYPERLINK("https://ui.adsabs.harvard.edu/abs/2017arXiv170405469R/abstract","2017arXiv170405469R")</f>
        <v>2017arXiv170405469R</v>
      </c>
      <c r="G789" s="1" t="s">
        <v>72</v>
      </c>
      <c r="H789" s="1">
        <v>0.9948579</v>
      </c>
      <c r="I789" s="1" t="s">
        <v>989</v>
      </c>
    </row>
    <row r="790">
      <c r="A790" s="2" t="str">
        <f>HYPERLINK("https://ui.adsabs.harvard.edu/abs/2018Quant...2...43C/abstract","2018Quant...2...43C")</f>
        <v>2018Quant...2...43C</v>
      </c>
      <c r="B790" s="2" t="str">
        <f>HYPERLINK("https://ui.adsabs.harvard.edu/abs/2017arXiv170406662C/abstract","2017arXiv170406662C")</f>
        <v>2017arXiv170406662C</v>
      </c>
      <c r="C790" s="1" t="s">
        <v>70</v>
      </c>
      <c r="E790" s="2" t="str">
        <f>HYPERLINK("https://ui.adsabs.harvard.edu/abs/2017arXiv170406662C/abstract","2017arXiv170406662C")</f>
        <v>2017arXiv170406662C</v>
      </c>
      <c r="G790" s="1" t="s">
        <v>72</v>
      </c>
      <c r="H790" s="1">
        <v>0.9948579</v>
      </c>
      <c r="I790" s="1" t="s">
        <v>989</v>
      </c>
    </row>
    <row r="791">
      <c r="A791" s="2" t="str">
        <f>HYPERLINK("https://ui.adsabs.harvard.edu/abs/2018Quant...2...44J/abstract","2018Quant...2...44J")</f>
        <v>2018Quant...2...44J</v>
      </c>
      <c r="B791" s="2" t="str">
        <f>HYPERLINK("https://ui.adsabs.harvard.edu/abs/2017arXiv170300454J/abstract","2017arXiv170300454J")</f>
        <v>2017arXiv170300454J</v>
      </c>
      <c r="C791" s="1" t="s">
        <v>70</v>
      </c>
      <c r="E791" s="2" t="str">
        <f>HYPERLINK("https://ui.adsabs.harvard.edu/abs/2017arXiv170300454J/abstract","2017arXiv170300454J")</f>
        <v>2017arXiv170300454J</v>
      </c>
      <c r="G791" s="1" t="s">
        <v>72</v>
      </c>
      <c r="H791" s="1">
        <v>0.9948579</v>
      </c>
      <c r="I791" s="1" t="s">
        <v>989</v>
      </c>
    </row>
    <row r="792">
      <c r="A792" s="2" t="str">
        <f>HYPERLINK("https://ui.adsabs.harvard.edu/abs/2021Quant...5..576K/abstract","2021Quant...5..576K")</f>
        <v>2021Quant...5..576K</v>
      </c>
      <c r="B792" s="2" t="str">
        <f>HYPERLINK("https://ui.adsabs.harvard.edu/abs/2020arXiv200800856K/abstract","2020arXiv200800856K")</f>
        <v>2020arXiv200800856K</v>
      </c>
      <c r="C792" s="1" t="s">
        <v>70</v>
      </c>
      <c r="E792" s="2" t="str">
        <f>HYPERLINK("https://ui.adsabs.harvard.edu/abs/2020arXiv200800856K/abstract","2020arXiv200800856K")</f>
        <v>2020arXiv200800856K</v>
      </c>
      <c r="G792" s="1" t="s">
        <v>72</v>
      </c>
      <c r="H792" s="1">
        <v>0.9948579</v>
      </c>
      <c r="I792" s="1" t="s">
        <v>989</v>
      </c>
    </row>
    <row r="793">
      <c r="A793" s="2" t="str">
        <f>HYPERLINK("https://ui.adsabs.harvard.edu/abs/2022Quant...6..697K/abstract","2022Quant...6..697K")</f>
        <v>2022Quant...6..697K</v>
      </c>
      <c r="B793" s="2" t="str">
        <f>HYPERLINK("https://ui.adsabs.harvard.edu/abs/2021arXiv210312096K/abstract","2021arXiv210312096K")</f>
        <v>2021arXiv210312096K</v>
      </c>
      <c r="C793" s="1" t="s">
        <v>70</v>
      </c>
      <c r="E793" s="2" t="str">
        <f>HYPERLINK("https://ui.adsabs.harvard.edu/abs/2021arXiv210312096K/abstract","2021arXiv210312096K")</f>
        <v>2021arXiv210312096K</v>
      </c>
      <c r="G793" s="1" t="s">
        <v>72</v>
      </c>
      <c r="H793" s="1">
        <v>0.9948579</v>
      </c>
      <c r="I793" s="1" t="s">
        <v>989</v>
      </c>
    </row>
    <row r="794">
      <c r="A794" s="2" t="str">
        <f>HYPERLINK("https://ui.adsabs.harvard.edu/abs/2022Quant...6..717G/abstract","2022Quant...6..717G")</f>
        <v>2022Quant...6..717G</v>
      </c>
      <c r="B794" s="2" t="str">
        <f>HYPERLINK("https://ui.adsabs.harvard.edu/abs/2021arXiv210305029G/abstract","2021arXiv210305029G")</f>
        <v>2021arXiv210305029G</v>
      </c>
      <c r="C794" s="1" t="s">
        <v>70</v>
      </c>
      <c r="E794" s="2" t="str">
        <f>HYPERLINK("https://ui.adsabs.harvard.edu/abs/2021arXiv210305029G/abstract","2021arXiv210305029G")</f>
        <v>2021arXiv210305029G</v>
      </c>
      <c r="G794" s="1" t="s">
        <v>72</v>
      </c>
      <c r="H794" s="1">
        <v>0.9948579</v>
      </c>
      <c r="I794" s="1" t="s">
        <v>989</v>
      </c>
    </row>
    <row r="795">
      <c r="A795" s="2" t="str">
        <f>HYPERLINK("https://ui.adsabs.harvard.edu/abs/2023Symm...15..257B/abstract","2023Symm...15..257B")</f>
        <v>2023Symm...15..257B</v>
      </c>
      <c r="B795" s="2" t="str">
        <f>HYPERLINK("https://ui.adsabs.harvard.edu/abs/2023arXiv230106972B/abstract","2023arXiv230106972B")</f>
        <v>2023arXiv230106972B</v>
      </c>
      <c r="C795" s="1" t="s">
        <v>70</v>
      </c>
      <c r="E795" s="2" t="str">
        <f>HYPERLINK("https://ui.adsabs.harvard.edu/abs/2023arXiv230106972B/abstract","2023arXiv230106972B")</f>
        <v>2023arXiv230106972B</v>
      </c>
      <c r="G795" s="1" t="s">
        <v>72</v>
      </c>
      <c r="H795" s="1">
        <v>0.9948579</v>
      </c>
      <c r="I795" s="1" t="s">
        <v>989</v>
      </c>
    </row>
    <row r="796">
      <c r="A796" s="2" t="str">
        <f>HYPERLINK("https://ui.adsabs.harvard.edu/abs/2023PhFl...35a6117J/abstract","2023PhFl...35a6117J")</f>
        <v>2023PhFl...35a6117J</v>
      </c>
      <c r="B796" s="2" t="str">
        <f>HYPERLINK("https://ui.adsabs.harvard.edu/abs/2022arXiv221104309J/abstract","2022arXiv221104309J")</f>
        <v>2022arXiv221104309J</v>
      </c>
      <c r="C796" s="1" t="s">
        <v>70</v>
      </c>
      <c r="E796" s="2" t="str">
        <f>HYPERLINK("https://ui.adsabs.harvard.edu/abs/2022arXiv221104309J/abstract","2022arXiv221104309J")</f>
        <v>2022arXiv221104309J</v>
      </c>
      <c r="G796" s="1" t="s">
        <v>72</v>
      </c>
      <c r="H796" s="1">
        <v>0.9949612</v>
      </c>
      <c r="I796" s="1" t="s">
        <v>990</v>
      </c>
    </row>
    <row r="797">
      <c r="A797" s="2" t="str">
        <f>HYPERLINK("https://ui.adsabs.harvard.edu/abs/2023NatCo..14..222L/abstract","2023NatCo..14..222L")</f>
        <v>2023NatCo..14..222L</v>
      </c>
      <c r="E797" s="2" t="str">
        <f>HYPERLINK("https://ui.adsabs.harvard.edu/abs/2022arXiv220801128L/abstract","2022arXiv220801128L")</f>
        <v>2022arXiv220801128L</v>
      </c>
      <c r="G797" s="1" t="s">
        <v>72</v>
      </c>
      <c r="H797" s="1">
        <v>0.9949861</v>
      </c>
      <c r="I797" s="1" t="s">
        <v>75</v>
      </c>
    </row>
    <row r="798">
      <c r="A798" s="2" t="str">
        <f>HYPERLINK("https://ui.adsabs.harvard.edu/abs/2023PhRvB.107c5126Z/abstract","2023PhRvB.107c5126Z")</f>
        <v>2023PhRvB.107c5126Z</v>
      </c>
      <c r="B798" s="2" t="str">
        <f>HYPERLINK("https://ui.adsabs.harvard.edu/abs/2022arXiv220701471Z/abstract","2022arXiv220701471Z")</f>
        <v>2022arXiv220701471Z</v>
      </c>
      <c r="C798" s="1" t="s">
        <v>70</v>
      </c>
      <c r="E798" s="2" t="str">
        <f>HYPERLINK("https://ui.adsabs.harvard.edu/abs/2022arXiv220701471Z/abstract","2022arXiv220701471Z")</f>
        <v>2022arXiv220701471Z</v>
      </c>
      <c r="G798" s="1" t="s">
        <v>72</v>
      </c>
      <c r="H798" s="1">
        <v>0.9949861</v>
      </c>
      <c r="I798" s="1" t="s">
        <v>991</v>
      </c>
    </row>
    <row r="799">
      <c r="A799" s="2" t="str">
        <f>HYPERLINK("https://ui.adsabs.harvard.edu/abs/2023Entrp..25..164O/abstract","2023Entrp..25..164O")</f>
        <v>2023Entrp..25..164O</v>
      </c>
      <c r="B799" s="2" t="str">
        <f>HYPERLINK("https://ui.adsabs.harvard.edu/abs/2022arXiv221115497O/abstract","2022arXiv221115497O")</f>
        <v>2022arXiv221115497O</v>
      </c>
      <c r="C799" s="1" t="s">
        <v>70</v>
      </c>
      <c r="E799" s="2" t="str">
        <f>HYPERLINK("https://ui.adsabs.harvard.edu/abs/2022arXiv221115497O/abstract","2022arXiv221115497O")</f>
        <v>2022arXiv221115497O</v>
      </c>
      <c r="G799" s="1" t="s">
        <v>72</v>
      </c>
      <c r="H799" s="1">
        <v>0.9949861</v>
      </c>
      <c r="I799" s="1" t="s">
        <v>991</v>
      </c>
    </row>
    <row r="800">
      <c r="A800" s="2" t="str">
        <f>HYPERLINK("https://ui.adsabs.harvard.edu/abs/2023NatPh..19..126C/abstract","2023NatPh..19..126C")</f>
        <v>2023NatPh..19..126C</v>
      </c>
      <c r="E800" s="2" t="str">
        <f>HYPERLINK("https://ui.adsabs.harvard.edu/abs/2021arXiv211214922C/abstract","2021arXiv211214922C")</f>
        <v>2021arXiv211214922C</v>
      </c>
      <c r="G800" s="1" t="s">
        <v>72</v>
      </c>
      <c r="H800" s="1">
        <v>0.994999</v>
      </c>
      <c r="I800" s="1" t="s">
        <v>992</v>
      </c>
    </row>
    <row r="801">
      <c r="A801" s="2" t="str">
        <f>HYPERLINK("https://ui.adsabs.harvard.edu/abs/2018Quant...2..100D/abstract","2018Quant...2..100D")</f>
        <v>2018Quant...2..100D</v>
      </c>
      <c r="E801" s="2" t="str">
        <f>HYPERLINK("https://ui.adsabs.harvard.edu/abs/2018arXiv180504045G/abstract","2018arXiv180504045G")</f>
        <v>2018arXiv180504045G</v>
      </c>
      <c r="G801" s="1" t="s">
        <v>72</v>
      </c>
      <c r="H801" s="1">
        <v>0.9950125</v>
      </c>
      <c r="I801" s="1" t="s">
        <v>993</v>
      </c>
    </row>
    <row r="802">
      <c r="A802" s="2" t="str">
        <f>HYPERLINK("https://ui.adsabs.harvard.edu/abs/2021Quant...5..474S/abstract","2021Quant...5..474S")</f>
        <v>2021Quant...5..474S</v>
      </c>
      <c r="B802" s="2" t="str">
        <f>HYPERLINK("https://ui.adsabs.harvard.edu/abs/2020arXiv200109737S/abstract","2020arXiv200109737S")</f>
        <v>2020arXiv200109737S</v>
      </c>
      <c r="C802" s="1" t="s">
        <v>70</v>
      </c>
      <c r="E802" s="2" t="str">
        <f>HYPERLINK("https://ui.adsabs.harvard.edu/abs/2020arXiv200109737S/abstract","2020arXiv200109737S")</f>
        <v>2020arXiv200109737S</v>
      </c>
      <c r="G802" s="1" t="s">
        <v>72</v>
      </c>
      <c r="H802" s="1">
        <v>0.9950125</v>
      </c>
      <c r="I802" s="1" t="s">
        <v>993</v>
      </c>
    </row>
    <row r="803">
      <c r="A803" s="2" t="str">
        <f>HYPERLINK("https://ui.adsabs.harvard.edu/abs/2021Quant...5..556C/abstract","2021Quant...5..556C")</f>
        <v>2021Quant...5..556C</v>
      </c>
      <c r="B803" s="2" t="str">
        <f>HYPERLINK("https://ui.adsabs.harvard.edu/abs/2021arXiv210502239C/abstract","2021arXiv210502239C")</f>
        <v>2021arXiv210502239C</v>
      </c>
      <c r="C803" s="1" t="s">
        <v>70</v>
      </c>
      <c r="E803" s="2" t="str">
        <f>HYPERLINK("https://ui.adsabs.harvard.edu/abs/2021arXiv210502239C/abstract","2021arXiv210502239C")</f>
        <v>2021arXiv210502239C</v>
      </c>
      <c r="G803" s="1" t="s">
        <v>72</v>
      </c>
      <c r="H803" s="1">
        <v>0.9950125</v>
      </c>
      <c r="I803" s="1" t="s">
        <v>993</v>
      </c>
    </row>
    <row r="804">
      <c r="A804" s="2" t="str">
        <f>HYPERLINK("https://ui.adsabs.harvard.edu/abs/2022Quant...6..881L/abstract","2022Quant...6..881L")</f>
        <v>2022Quant...6..881L</v>
      </c>
      <c r="B804" s="2" t="str">
        <f>HYPERLINK("https://ui.adsabs.harvard.edu/abs/2022arXiv221207389L/abstract","2022arXiv221207389L")</f>
        <v>2022arXiv221207389L</v>
      </c>
      <c r="C804" s="1" t="s">
        <v>70</v>
      </c>
      <c r="E804" s="2" t="str">
        <f>HYPERLINK("https://ui.adsabs.harvard.edu/abs/2022arXiv221207389L/abstract","2022arXiv221207389L")</f>
        <v>2022arXiv221207389L</v>
      </c>
      <c r="G804" s="1" t="s">
        <v>72</v>
      </c>
      <c r="H804" s="1">
        <v>0.9950125</v>
      </c>
      <c r="I804" s="1" t="s">
        <v>993</v>
      </c>
    </row>
    <row r="805">
      <c r="A805" s="2" t="str">
        <f>HYPERLINK("https://ui.adsabs.harvard.edu/abs/2023CmPhy...6...12D/abstract","2023CmPhy...6...12D")</f>
        <v>2023CmPhy...6...12D</v>
      </c>
      <c r="B805" s="2" t="str">
        <f>HYPERLINK("https://ui.adsabs.harvard.edu/abs/2022arXiv220201817D/abstract","2022arXiv220201817D")</f>
        <v>2022arXiv220201817D</v>
      </c>
      <c r="C805" s="1" t="s">
        <v>70</v>
      </c>
      <c r="E805" s="2" t="str">
        <f>HYPERLINK("https://ui.adsabs.harvard.edu/abs/2022arXiv220201817D/abstract","2022arXiv220201817D")</f>
        <v>2022arXiv220201817D</v>
      </c>
      <c r="G805" s="1" t="s">
        <v>72</v>
      </c>
      <c r="H805" s="1">
        <v>0.9950389</v>
      </c>
      <c r="I805" s="1" t="s">
        <v>994</v>
      </c>
    </row>
    <row r="806">
      <c r="A806" s="2" t="str">
        <f>HYPERLINK("https://ui.adsabs.harvard.edu/abs/2023PRXQ....4a0307C/abstract","2023PRXQ....4a0307C")</f>
        <v>2023PRXQ....4a0307C</v>
      </c>
      <c r="B806" s="2" t="str">
        <f>HYPERLINK("https://ui.adsabs.harvard.edu/abs/2022arXiv220600009C/abstract","2022arXiv220600009C")</f>
        <v>2022arXiv220600009C</v>
      </c>
      <c r="C806" s="1" t="s">
        <v>70</v>
      </c>
      <c r="E806" s="2" t="str">
        <f>HYPERLINK("https://ui.adsabs.harvard.edu/abs/2022arXiv220600009C/abstract","2022arXiv220600009C")</f>
        <v>2022arXiv220600009C</v>
      </c>
      <c r="G806" s="1" t="s">
        <v>72</v>
      </c>
      <c r="H806" s="1">
        <v>0.9950389</v>
      </c>
      <c r="I806" s="1" t="s">
        <v>994</v>
      </c>
    </row>
    <row r="807">
      <c r="A807" s="2" t="str">
        <f>HYPERLINK("https://ui.adsabs.harvard.edu/abs/2020Quant...4..247P/abstract","2020Quant...4..247P")</f>
        <v>2020Quant...4..247P</v>
      </c>
      <c r="E807" s="2" t="str">
        <f>HYPERLINK("https://ui.adsabs.harvard.edu/abs/2019arXiv190410541P/abstract","2019arXiv190410541P")</f>
        <v>2019arXiv190410541P</v>
      </c>
      <c r="G807" s="1" t="s">
        <v>72</v>
      </c>
      <c r="H807" s="1">
        <v>0.9950389</v>
      </c>
      <c r="I807" s="1" t="s">
        <v>994</v>
      </c>
    </row>
    <row r="808">
      <c r="A808" s="2" t="str">
        <f>HYPERLINK("https://ui.adsabs.harvard.edu/abs/2023npjQM...8....3L/abstract","2023npjQM...8....3L")</f>
        <v>2023npjQM...8....3L</v>
      </c>
      <c r="B808" s="2" t="str">
        <f>HYPERLINK("https://ui.adsabs.harvard.edu/abs/2022arXiv220906135L/abstract","2022arXiv220906135L")</f>
        <v>2022arXiv220906135L</v>
      </c>
      <c r="C808" s="1" t="s">
        <v>70</v>
      </c>
      <c r="E808" s="2" t="str">
        <f>HYPERLINK("https://ui.adsabs.harvard.edu/abs/2022arXiv220906135L/abstract","2022arXiv220906135L")</f>
        <v>2022arXiv220906135L</v>
      </c>
      <c r="G808" s="1" t="s">
        <v>72</v>
      </c>
      <c r="H808" s="1">
        <v>0.995059</v>
      </c>
      <c r="I808" s="1" t="s">
        <v>995</v>
      </c>
    </row>
    <row r="809">
      <c r="A809" s="2" t="str">
        <f>HYPERLINK("https://ui.adsabs.harvard.edu/abs/2020Quant...4..249D/abstract","2020Quant...4..249D")</f>
        <v>2020Quant...4..249D</v>
      </c>
      <c r="E809" s="2" t="str">
        <f>HYPERLINK("https://ui.adsabs.harvard.edu/abs/2019arXiv191005089G/abstract","2019arXiv191005089G")</f>
        <v>2019arXiv191005089G</v>
      </c>
      <c r="G809" s="1" t="s">
        <v>72</v>
      </c>
      <c r="H809" s="1">
        <v>0.9951261</v>
      </c>
      <c r="I809" s="1" t="s">
        <v>996</v>
      </c>
    </row>
    <row r="810">
      <c r="A810" s="2" t="str">
        <f>HYPERLINK("https://ui.adsabs.harvard.edu/abs/2023PhRvL.130c7401L/abstract","2023PhRvL.130c7401L")</f>
        <v>2023PhRvL.130c7401L</v>
      </c>
      <c r="B810" s="2" t="str">
        <f>HYPERLINK("https://ui.adsabs.harvard.edu/abs/2022arXiv220514480L/abstract","2022arXiv220514480L")</f>
        <v>2022arXiv220514480L</v>
      </c>
      <c r="C810" s="1" t="s">
        <v>70</v>
      </c>
      <c r="E810" s="2" t="str">
        <f>HYPERLINK("https://ui.adsabs.harvard.edu/abs/2022arXiv220514480L/abstract","2022arXiv220514480L")</f>
        <v>2022arXiv220514480L</v>
      </c>
      <c r="G810" s="1" t="s">
        <v>72</v>
      </c>
      <c r="H810" s="1">
        <v>0.9951626</v>
      </c>
      <c r="I810" s="1" t="s">
        <v>997</v>
      </c>
    </row>
    <row r="811">
      <c r="A811" s="2" t="str">
        <f>HYPERLINK("https://ui.adsabs.harvard.edu/abs/2017Quant...1....9S/abstract","2017Quant...1....9S")</f>
        <v>2017Quant...1....9S</v>
      </c>
      <c r="B811" s="2" t="str">
        <f>HYPERLINK("https://ui.adsabs.harvard.edu/abs/2016arXiv160605510S/abstract","2016arXiv160605510S")</f>
        <v>2016arXiv160605510S</v>
      </c>
      <c r="C811" s="1" t="s">
        <v>70</v>
      </c>
      <c r="E811" s="2" t="str">
        <f>HYPERLINK("https://ui.adsabs.harvard.edu/abs/2016arXiv160605510S/abstract","2016arXiv160605510S")</f>
        <v>2016arXiv160605510S</v>
      </c>
      <c r="G811" s="1" t="s">
        <v>72</v>
      </c>
      <c r="H811" s="1">
        <v>0.9951626</v>
      </c>
      <c r="I811" s="1" t="s">
        <v>997</v>
      </c>
    </row>
    <row r="812">
      <c r="A812" s="2" t="str">
        <f>HYPERLINK("https://ui.adsabs.harvard.edu/abs/2018Quant...2...49S/abstract","2018Quant...2...49S")</f>
        <v>2018Quant...2...49S</v>
      </c>
      <c r="E812" s="2" t="str">
        <f>HYPERLINK("https://ui.adsabs.harvard.edu/abs/2016arXiv161208091S/abstract","2016arXiv161208091S")</f>
        <v>2016arXiv161208091S</v>
      </c>
      <c r="G812" s="1" t="s">
        <v>72</v>
      </c>
      <c r="H812" s="1">
        <v>0.9951847</v>
      </c>
      <c r="I812" s="1" t="s">
        <v>998</v>
      </c>
    </row>
    <row r="813">
      <c r="A813" s="2" t="str">
        <f>HYPERLINK("https://ui.adsabs.harvard.edu/abs/2021Quant...5..568R/abstract","2021Quant...5..568R")</f>
        <v>2021Quant...5..568R</v>
      </c>
      <c r="B813" s="2" t="str">
        <f>HYPERLINK("https://ui.adsabs.harvard.edu/abs/2021arXiv210413944R/abstract","2021arXiv210413944R")</f>
        <v>2021arXiv210413944R</v>
      </c>
      <c r="C813" s="1" t="s">
        <v>70</v>
      </c>
      <c r="E813" s="2" t="str">
        <f>HYPERLINK("https://ui.adsabs.harvard.edu/abs/2021arXiv210413944R/abstract","2021arXiv210413944R")</f>
        <v>2021arXiv210413944R</v>
      </c>
      <c r="G813" s="1" t="s">
        <v>72</v>
      </c>
      <c r="H813" s="1">
        <v>0.9951862</v>
      </c>
      <c r="I813" s="1" t="s">
        <v>999</v>
      </c>
    </row>
    <row r="814">
      <c r="A814" s="2" t="str">
        <f>HYPERLINK("https://ui.adsabs.harvard.edu/abs/2023NatPh..19..120Z/abstract","2023NatPh..19..120Z")</f>
        <v>2023NatPh..19..120Z</v>
      </c>
      <c r="B814" s="2" t="str">
        <f>HYPERLINK("https://ui.adsabs.harvard.edu/abs/2022arXiv220103438Z/abstract","2022arXiv220103438Z")</f>
        <v>2022arXiv220103438Z</v>
      </c>
      <c r="C814" s="1" t="s">
        <v>70</v>
      </c>
      <c r="E814" s="2" t="str">
        <f>HYPERLINK("https://ui.adsabs.harvard.edu/abs/2022arXiv220103438Z/abstract","2022arXiv220103438Z")</f>
        <v>2022arXiv220103438Z</v>
      </c>
      <c r="G814" s="1" t="s">
        <v>72</v>
      </c>
      <c r="H814" s="1">
        <v>0.9951941</v>
      </c>
      <c r="I814" s="1" t="s">
        <v>1000</v>
      </c>
    </row>
    <row r="815">
      <c r="A815" s="2" t="str">
        <f>HYPERLINK("https://ui.adsabs.harvard.edu/abs/2023npjQM...8....4W/abstract","2023npjQM...8....4W")</f>
        <v>2023npjQM...8....4W</v>
      </c>
      <c r="B815" s="2" t="str">
        <f>HYPERLINK("https://ui.adsabs.harvard.edu/abs/2022arXiv220105012W/abstract","2022arXiv220105012W")</f>
        <v>2022arXiv220105012W</v>
      </c>
      <c r="C815" s="1" t="s">
        <v>70</v>
      </c>
      <c r="E815" s="2" t="str">
        <f>HYPERLINK("https://ui.adsabs.harvard.edu/abs/2022arXiv220105012W/abstract","2022arXiv220105012W")</f>
        <v>2022arXiv220105012W</v>
      </c>
      <c r="G815" s="1" t="s">
        <v>72</v>
      </c>
      <c r="H815" s="1">
        <v>0.9952136</v>
      </c>
      <c r="I815" s="1" t="s">
        <v>1001</v>
      </c>
    </row>
    <row r="816">
      <c r="A816" s="2" t="str">
        <f>HYPERLINK("https://ui.adsabs.harvard.edu/abs/2017Quant...1...39A/abstract","2017Quant...1...39A")</f>
        <v>2017Quant...1...39A</v>
      </c>
      <c r="B816" s="2" t="str">
        <f>HYPERLINK("https://ui.adsabs.harvard.edu/abs/2017arXiv170807663A/abstract","2017arXiv170807663A")</f>
        <v>2017arXiv170807663A</v>
      </c>
      <c r="C816" s="1" t="s">
        <v>70</v>
      </c>
      <c r="E816" s="2" t="str">
        <f>HYPERLINK("https://ui.adsabs.harvard.edu/abs/2017arXiv170807663A/abstract","2017arXiv170807663A")</f>
        <v>2017arXiv170807663A</v>
      </c>
      <c r="G816" s="1" t="s">
        <v>72</v>
      </c>
      <c r="H816" s="1">
        <v>0.9952136</v>
      </c>
      <c r="I816" s="1" t="s">
        <v>1001</v>
      </c>
    </row>
    <row r="817">
      <c r="A817" s="2" t="str">
        <f>HYPERLINK("https://ui.adsabs.harvard.edu/abs/2021Quant...5..571K/abstract","2021Quant...5..571K")</f>
        <v>2021Quant...5..571K</v>
      </c>
      <c r="B817" s="2" t="str">
        <f>HYPERLINK("https://ui.adsabs.harvard.edu/abs/2020arXiv200704276K/abstract","2020arXiv200704276K")</f>
        <v>2020arXiv200704276K</v>
      </c>
      <c r="C817" s="1" t="s">
        <v>70</v>
      </c>
      <c r="E817" s="2" t="str">
        <f>HYPERLINK("https://ui.adsabs.harvard.edu/abs/2020arXiv200704276K/abstract","2020arXiv200704276K")</f>
        <v>2020arXiv200704276K</v>
      </c>
      <c r="G817" s="1" t="s">
        <v>72</v>
      </c>
      <c r="H817" s="1">
        <v>0.9952136</v>
      </c>
      <c r="I817" s="1" t="s">
        <v>1001</v>
      </c>
    </row>
    <row r="818">
      <c r="A818" s="2" t="str">
        <f>HYPERLINK("https://ui.adsabs.harvard.edu/abs/2023ITAP...71..818S/abstract","2023ITAP...71..818S")</f>
        <v>2023ITAP...71..818S</v>
      </c>
      <c r="C818" s="1" t="s">
        <v>12</v>
      </c>
      <c r="E818" s="2" t="str">
        <f>HYPERLINK("https://ui.adsabs.harvard.edu/abs/2021arXiv211209831S/abstract","2021arXiv211209831S")</f>
        <v>2021arXiv211209831S</v>
      </c>
      <c r="F818" s="1" t="s">
        <v>1002</v>
      </c>
      <c r="G818" s="1" t="s">
        <v>72</v>
      </c>
      <c r="H818" s="1">
        <v>0.9952428</v>
      </c>
      <c r="I818" s="1" t="s">
        <v>1003</v>
      </c>
    </row>
    <row r="819">
      <c r="A819" s="2" t="str">
        <f>HYPERLINK("https://ui.adsabs.harvard.edu/abs/2023PhRvB.107d5417Q/abstract","2023PhRvB.107d5417Q")</f>
        <v>2023PhRvB.107d5417Q</v>
      </c>
      <c r="B819" s="2" t="str">
        <f>HYPERLINK("https://ui.adsabs.harvard.edu/abs/2022arXiv220900416Q/abstract","2022arXiv220900416Q")</f>
        <v>2022arXiv220900416Q</v>
      </c>
      <c r="C819" s="1" t="s">
        <v>70</v>
      </c>
      <c r="E819" s="2" t="str">
        <f>HYPERLINK("https://ui.adsabs.harvard.edu/abs/2022arXiv220900416Q/abstract","2022arXiv220900416Q")</f>
        <v>2022arXiv220900416Q</v>
      </c>
      <c r="G819" s="1" t="s">
        <v>72</v>
      </c>
      <c r="H819" s="1">
        <v>0.9952832</v>
      </c>
      <c r="I819" s="1" t="s">
        <v>1004</v>
      </c>
    </row>
    <row r="820">
      <c r="A820" s="2" t="str">
        <f>HYPERLINK("https://ui.adsabs.harvard.edu/abs/2023PhRvL.130c6702G/abstract","2023PhRvL.130c6702G")</f>
        <v>2023PhRvL.130c6702G</v>
      </c>
      <c r="E820" s="2" t="str">
        <f>HYPERLINK("https://ui.adsabs.harvard.edu/abs/2021arXiv211206805G/abstract","2021arXiv211206805G")</f>
        <v>2021arXiv211206805G</v>
      </c>
      <c r="G820" s="1" t="s">
        <v>72</v>
      </c>
      <c r="H820" s="1">
        <v>0.9952894</v>
      </c>
      <c r="I820" s="1" t="s">
        <v>1005</v>
      </c>
    </row>
    <row r="821">
      <c r="A821" s="2" t="str">
        <f>HYPERLINK("https://ui.adsabs.harvard.edu/abs/2020Quant...4..234R/abstract","2020Quant...4..234R")</f>
        <v>2020Quant...4..234R</v>
      </c>
      <c r="E821" s="2" t="str">
        <f>HYPERLINK("https://ui.adsabs.harvard.edu/abs/2018arXiv180402484R/abstract","2018arXiv180402484R")</f>
        <v>2018arXiv180402484R</v>
      </c>
      <c r="G821" s="1" t="s">
        <v>72</v>
      </c>
      <c r="H821" s="1">
        <v>0.9953573</v>
      </c>
      <c r="I821" s="1" t="s">
        <v>1006</v>
      </c>
    </row>
    <row r="822">
      <c r="A822" s="2" t="str">
        <f>HYPERLINK("https://ui.adsabs.harvard.edu/abs/2022JETPL.116..669S/abstract","2022JETPL.116..669S")</f>
        <v>2022JETPL.116..669S</v>
      </c>
      <c r="E822" s="2" t="str">
        <f>HYPERLINK("https://ui.adsabs.harvard.edu/abs/2022JETPL.tmp...87S/abstract","2022JETPL.tmp...87S")</f>
        <v>2022JETPL.tmp...87S</v>
      </c>
      <c r="G822" s="1" t="s">
        <v>72</v>
      </c>
      <c r="H822" s="1">
        <v>0.9953821</v>
      </c>
      <c r="I822" s="1" t="s">
        <v>1007</v>
      </c>
    </row>
    <row r="823">
      <c r="A823" s="2" t="str">
        <f>HYPERLINK("https://ui.adsabs.harvard.edu/abs/2023JHEP...01..060M/abstract","2023JHEP...01..060M")</f>
        <v>2023JHEP...01..060M</v>
      </c>
      <c r="B823" s="2" t="str">
        <f>HYPERLINK("https://ui.adsabs.harvard.edu/abs/2022arXiv221105437M/abstract","2022arXiv221105437M")</f>
        <v>2022arXiv221105437M</v>
      </c>
      <c r="C823" s="1" t="s">
        <v>70</v>
      </c>
      <c r="E823" s="2" t="str">
        <f>HYPERLINK("https://ui.adsabs.harvard.edu/abs/2022arXiv221105437M/abstract","2022arXiv221105437M")</f>
        <v>2022arXiv221105437M</v>
      </c>
      <c r="G823" s="1" t="s">
        <v>72</v>
      </c>
      <c r="H823" s="1">
        <v>0.9953821</v>
      </c>
      <c r="I823" s="1" t="s">
        <v>1007</v>
      </c>
    </row>
    <row r="824">
      <c r="A824" s="2" t="str">
        <f>HYPERLINK("https://ui.adsabs.harvard.edu/abs/2023PhRvB.107d5127D/abstract","2023PhRvB.107d5127D")</f>
        <v>2023PhRvB.107d5127D</v>
      </c>
      <c r="B824" s="2" t="str">
        <f>HYPERLINK("https://ui.adsabs.harvard.edu/abs/2022arXiv220910768D/abstract","2022arXiv220910768D")</f>
        <v>2022arXiv220910768D</v>
      </c>
      <c r="C824" s="1" t="s">
        <v>70</v>
      </c>
      <c r="E824" s="2" t="str">
        <f>HYPERLINK("https://ui.adsabs.harvard.edu/abs/2022arXiv220910768D/abstract","2022arXiv220910768D")</f>
        <v>2022arXiv220910768D</v>
      </c>
      <c r="G824" s="1" t="s">
        <v>72</v>
      </c>
      <c r="H824" s="1">
        <v>0.9953821</v>
      </c>
      <c r="I824" s="1" t="s">
        <v>1007</v>
      </c>
    </row>
    <row r="825">
      <c r="A825" s="2" t="str">
        <f>HYPERLINK("https://ui.adsabs.harvard.edu/abs/2023PhRvL.130c3602O/abstract","2023PhRvL.130c3602O")</f>
        <v>2023PhRvL.130c3602O</v>
      </c>
      <c r="B825" s="2" t="str">
        <f>HYPERLINK("https://ui.adsabs.harvard.edu/abs/2022arXiv220313255O/abstract","2022arXiv220313255O")</f>
        <v>2022arXiv220313255O</v>
      </c>
      <c r="C825" s="1" t="s">
        <v>70</v>
      </c>
      <c r="E825" s="2" t="str">
        <f>HYPERLINK("https://ui.adsabs.harvard.edu/abs/2022arXiv220313255O/abstract","2022arXiv220313255O")</f>
        <v>2022arXiv220313255O</v>
      </c>
      <c r="G825" s="1" t="s">
        <v>72</v>
      </c>
      <c r="H825" s="1">
        <v>0.9953821</v>
      </c>
      <c r="I825" s="1" t="s">
        <v>1007</v>
      </c>
    </row>
    <row r="826">
      <c r="A826" s="2" t="str">
        <f>HYPERLINK("https://ui.adsabs.harvard.edu/abs/2017Quant...1...25S/abstract","2017Quant...1...25S")</f>
        <v>2017Quant...1...25S</v>
      </c>
      <c r="E826" s="2" t="str">
        <f>HYPERLINK("https://ui.adsabs.harvard.edu/abs/2015arXiv151105738Y/abstract","2015arXiv151105738Y")</f>
        <v>2015arXiv151105738Y</v>
      </c>
      <c r="G826" s="1" t="s">
        <v>72</v>
      </c>
      <c r="H826" s="1">
        <v>0.9954066</v>
      </c>
      <c r="I826" s="1" t="s">
        <v>1008</v>
      </c>
    </row>
    <row r="827">
      <c r="A827" s="2" t="str">
        <f>HYPERLINK("https://ui.adsabs.harvard.edu/abs/2023EPJC...83...22L/abstract","2023EPJC...83...22L")</f>
        <v>2023EPJC...83...22L</v>
      </c>
      <c r="B827" s="2" t="str">
        <f>HYPERLINK("https://ui.adsabs.harvard.edu/abs/2022arXiv220606123L/abstract","2022arXiv220606123L")</f>
        <v>2022arXiv220606123L</v>
      </c>
      <c r="C827" s="1" t="s">
        <v>70</v>
      </c>
      <c r="E827" s="2" t="str">
        <f>HYPERLINK("https://ui.adsabs.harvard.edu/abs/2022arXiv220606123L/abstract","2022arXiv220606123L")</f>
        <v>2022arXiv220606123L</v>
      </c>
      <c r="G827" s="1" t="s">
        <v>72</v>
      </c>
      <c r="H827" s="1">
        <v>0.9954973</v>
      </c>
      <c r="I827" s="1" t="s">
        <v>1009</v>
      </c>
    </row>
    <row r="828">
      <c r="A828" s="2" t="str">
        <f>HYPERLINK("https://ui.adsabs.harvard.edu/abs/2020Quant...4..254B/abstract","2020Quant...4..254B")</f>
        <v>2020Quant...4..254B</v>
      </c>
      <c r="B828" s="2" t="str">
        <f>HYPERLINK("https://ui.adsabs.harvard.edu/abs/2019arXiv190607115B/abstract","2019arXiv190607115B")</f>
        <v>2019arXiv190607115B</v>
      </c>
      <c r="C828" s="1" t="s">
        <v>70</v>
      </c>
      <c r="E828" s="2" t="str">
        <f>HYPERLINK("https://ui.adsabs.harvard.edu/abs/2019arXiv190607115B/abstract","2019arXiv190607115B")</f>
        <v>2019arXiv190607115B</v>
      </c>
      <c r="G828" s="1" t="s">
        <v>72</v>
      </c>
      <c r="H828" s="1">
        <v>0.9954973</v>
      </c>
      <c r="I828" s="1" t="s">
        <v>1009</v>
      </c>
    </row>
    <row r="829">
      <c r="A829" s="2" t="str">
        <f>HYPERLINK("https://ui.adsabs.harvard.edu/abs/2021Quant...5..385C/abstract","2021Quant...5..385C")</f>
        <v>2021Quant...5..385C</v>
      </c>
      <c r="E829" s="2" t="str">
        <f>HYPERLINK("https://ui.adsabs.harvard.edu/abs/2019arXiv190806942C/abstract","2019arXiv190806942C")</f>
        <v>2019arXiv190806942C</v>
      </c>
      <c r="G829" s="1" t="s">
        <v>72</v>
      </c>
      <c r="H829" s="1">
        <v>0.9955351</v>
      </c>
      <c r="I829" s="1" t="s">
        <v>1010</v>
      </c>
    </row>
    <row r="830">
      <c r="A830" s="2" t="str">
        <f>HYPERLINK("https://ui.adsabs.harvard.edu/abs/2023JHEP...01..052K/abstract","2023JHEP...01..052K")</f>
        <v>2023JHEP...01..052K</v>
      </c>
      <c r="B830" s="2" t="str">
        <f>HYPERLINK("https://ui.adsabs.harvard.edu/abs/2022arXiv220809584K/abstract","2022arXiv220809584K")</f>
        <v>2022arXiv220809584K</v>
      </c>
      <c r="C830" s="1" t="s">
        <v>70</v>
      </c>
      <c r="E830" s="2" t="str">
        <f>HYPERLINK("https://ui.adsabs.harvard.edu/abs/2022arXiv220809584K/abstract","2022arXiv220809584K")</f>
        <v>2022arXiv220809584K</v>
      </c>
      <c r="G830" s="1" t="s">
        <v>72</v>
      </c>
      <c r="H830" s="1">
        <v>0.9955448</v>
      </c>
      <c r="I830" s="1" t="s">
        <v>1011</v>
      </c>
    </row>
    <row r="831">
      <c r="A831" s="2" t="str">
        <f>HYPERLINK("https://ui.adsabs.harvard.edu/abs/2021Quant...5..437M/abstract","2021Quant...5..437M")</f>
        <v>2021Quant...5..437M</v>
      </c>
      <c r="B831" s="2" t="str">
        <f>HYPERLINK("https://ui.adsabs.harvard.edu/abs/2021arXiv210105513M/abstract","2021arXiv210105513M")</f>
        <v>2021arXiv210105513M</v>
      </c>
      <c r="C831" s="1" t="s">
        <v>70</v>
      </c>
      <c r="E831" s="2" t="str">
        <f>HYPERLINK("https://ui.adsabs.harvard.edu/abs/2021arXiv210105513M/abstract","2021arXiv210105513M")</f>
        <v>2021arXiv210105513M</v>
      </c>
      <c r="G831" s="1" t="s">
        <v>72</v>
      </c>
      <c r="H831" s="1">
        <v>0.9955448</v>
      </c>
      <c r="I831" s="1" t="s">
        <v>1011</v>
      </c>
    </row>
    <row r="832">
      <c r="A832" s="2" t="str">
        <f>HYPERLINK("https://ui.adsabs.harvard.edu/abs/2018Quant...2...71H/abstract","2018Quant...2...71H")</f>
        <v>2018Quant...2...71H</v>
      </c>
      <c r="B832" s="2" t="str">
        <f>HYPERLINK("https://ui.adsabs.harvard.edu/abs/2017arXiv170902832H/abstract","2017arXiv170902832H")</f>
        <v>2017arXiv170902832H</v>
      </c>
      <c r="C832" s="1" t="s">
        <v>70</v>
      </c>
      <c r="E832" s="2" t="str">
        <f>HYPERLINK("https://ui.adsabs.harvard.edu/abs/2017arXiv170902832H/abstract","2017arXiv170902832H")</f>
        <v>2017arXiv170902832H</v>
      </c>
      <c r="G832" s="1" t="s">
        <v>72</v>
      </c>
      <c r="H832" s="1">
        <v>0.9955629</v>
      </c>
      <c r="I832" s="1" t="s">
        <v>1012</v>
      </c>
    </row>
    <row r="833">
      <c r="A833" s="2" t="str">
        <f>HYPERLINK("https://ui.adsabs.harvard.edu/abs/2023Symm...15..249A/abstract","2023Symm...15..249A")</f>
        <v>2023Symm...15..249A</v>
      </c>
      <c r="B833" s="2" t="str">
        <f>HYPERLINK("https://ui.adsabs.harvard.edu/abs/2022arXiv220606482A/abstract","2022arXiv220606482A")</f>
        <v>2022arXiv220606482A</v>
      </c>
      <c r="C833" s="1" t="s">
        <v>70</v>
      </c>
      <c r="E833" s="2" t="str">
        <f>HYPERLINK("https://ui.adsabs.harvard.edu/abs/2022arXiv220606482A/abstract","2022arXiv220606482A")</f>
        <v>2022arXiv220606482A</v>
      </c>
      <c r="G833" s="1" t="s">
        <v>72</v>
      </c>
      <c r="H833" s="1">
        <v>0.9955698</v>
      </c>
      <c r="I833" s="1" t="s">
        <v>1013</v>
      </c>
    </row>
    <row r="834">
      <c r="A834" s="2" t="str">
        <f>HYPERLINK("https://ui.adsabs.harvard.edu/abs/2023npjQM...8....2L/abstract","2023npjQM...8....2L")</f>
        <v>2023npjQM...8....2L</v>
      </c>
      <c r="E834" s="2" t="str">
        <f>HYPERLINK("https://ui.adsabs.harvard.edu/abs/2021arXiv211007538L/abstract","2021arXiv211007538L")</f>
        <v>2021arXiv211007538L</v>
      </c>
      <c r="G834" s="1" t="s">
        <v>72</v>
      </c>
      <c r="H834" s="1">
        <v>0.995576</v>
      </c>
      <c r="I834" s="1" t="s">
        <v>1014</v>
      </c>
    </row>
    <row r="835">
      <c r="A835" s="2" t="str">
        <f>HYPERLINK("https://ui.adsabs.harvard.edu/abs/2023PhRvE.107a4128S/abstract","2023PhRvE.107a4128S")</f>
        <v>2023PhRvE.107a4128S</v>
      </c>
      <c r="B835" s="2" t="str">
        <f>HYPERLINK("https://ui.adsabs.harvard.edu/abs/2022arXiv220908076S/abstract","2022arXiv220908076S")</f>
        <v>2022arXiv220908076S</v>
      </c>
      <c r="C835" s="1" t="s">
        <v>70</v>
      </c>
      <c r="E835" s="2" t="str">
        <f>HYPERLINK("https://ui.adsabs.harvard.edu/abs/2022arXiv220908076S/abstract","2022arXiv220908076S")</f>
        <v>2022arXiv220908076S</v>
      </c>
      <c r="G835" s="1" t="s">
        <v>72</v>
      </c>
      <c r="H835" s="1">
        <v>0.9956096</v>
      </c>
      <c r="I835" s="1" t="s">
        <v>1015</v>
      </c>
    </row>
    <row r="836">
      <c r="A836" s="2" t="str">
        <f>HYPERLINK("https://ui.adsabs.harvard.edu/abs/2023Senso..23..940G/abstract","2023Senso..23..940G")</f>
        <v>2023Senso..23..940G</v>
      </c>
      <c r="E836" s="2" t="str">
        <f>HYPERLINK("https://ui.adsabs.harvard.edu/abs/2021arXiv210607075G/abstract","2021arXiv210607075G")</f>
        <v>2021arXiv210607075G</v>
      </c>
      <c r="G836" s="1" t="s">
        <v>72</v>
      </c>
      <c r="H836" s="1">
        <v>0.9956305</v>
      </c>
      <c r="I836" s="1" t="s">
        <v>1016</v>
      </c>
    </row>
    <row r="837">
      <c r="A837" s="2" t="str">
        <f>HYPERLINK("https://ui.adsabs.harvard.edu/abs/2021Quant...5..524B/abstract","2021Quant...5..524B")</f>
        <v>2021Quant...5..524B</v>
      </c>
      <c r="E837" s="2" t="str">
        <f>HYPERLINK("https://ui.adsabs.harvard.edu/abs/2019arXiv191109696B/abstract","2019arXiv191109696B")</f>
        <v>2019arXiv191109696B</v>
      </c>
      <c r="G837" s="1" t="s">
        <v>72</v>
      </c>
      <c r="H837" s="1">
        <v>0.9956445</v>
      </c>
      <c r="I837" s="1" t="s">
        <v>1017</v>
      </c>
    </row>
    <row r="838">
      <c r="A838" s="2" t="str">
        <f>HYPERLINK("https://ui.adsabs.harvard.edu/abs/2023JHEP...01..058Y/abstract","2023JHEP...01..058Y")</f>
        <v>2023JHEP...01..058Y</v>
      </c>
      <c r="B838" s="2" t="str">
        <f>HYPERLINK("https://ui.adsabs.harvard.edu/abs/2022arXiv220707320Y/abstract","2022arXiv220707320Y")</f>
        <v>2022arXiv220707320Y</v>
      </c>
      <c r="C838" s="1" t="s">
        <v>70</v>
      </c>
      <c r="E838" s="2" t="str">
        <f>HYPERLINK("https://ui.adsabs.harvard.edu/abs/2022arXiv220707320Y/abstract","2022arXiv220707320Y")</f>
        <v>2022arXiv220707320Y</v>
      </c>
      <c r="G838" s="1" t="s">
        <v>72</v>
      </c>
      <c r="H838" s="1">
        <v>0.9956559</v>
      </c>
      <c r="I838" s="1" t="s">
        <v>1018</v>
      </c>
    </row>
    <row r="839">
      <c r="A839" s="2" t="str">
        <f>HYPERLINK("https://ui.adsabs.harvard.edu/abs/2023PCCP...25.1881O/abstract","2023PCCP...25.1881O")</f>
        <v>2023PCCP...25.1881O</v>
      </c>
      <c r="B839" s="2" t="str">
        <f>HYPERLINK("https://ui.adsabs.harvard.edu/abs/2022arXiv221211326O/abstract","2022arXiv221211326O")</f>
        <v>2022arXiv221211326O</v>
      </c>
      <c r="C839" s="1" t="s">
        <v>70</v>
      </c>
      <c r="E839" s="2" t="str">
        <f>HYPERLINK("https://ui.adsabs.harvard.edu/abs/2022arXiv221211326O/abstract","2022arXiv221211326O")</f>
        <v>2022arXiv221211326O</v>
      </c>
      <c r="G839" s="1" t="s">
        <v>72</v>
      </c>
      <c r="H839" s="1">
        <v>0.9956559</v>
      </c>
      <c r="I839" s="1" t="s">
        <v>1018</v>
      </c>
    </row>
    <row r="840">
      <c r="A840" s="2" t="str">
        <f>HYPERLINK("https://ui.adsabs.harvard.edu/abs/2023RemS...15..570M/abstract","2023RemS...15..570M")</f>
        <v>2023RemS...15..570M</v>
      </c>
      <c r="B840" s="2" t="str">
        <f>HYPERLINK("https://ui.adsabs.harvard.edu/abs/2022arXiv220711470M/abstract","2022arXiv220711470M")</f>
        <v>2022arXiv220711470M</v>
      </c>
      <c r="C840" s="1" t="s">
        <v>70</v>
      </c>
      <c r="E840" s="2" t="str">
        <f>HYPERLINK("https://ui.adsabs.harvard.edu/abs/2022arXiv220711470M/abstract","2022arXiv220711470M")</f>
        <v>2022arXiv220711470M</v>
      </c>
      <c r="G840" s="1" t="s">
        <v>72</v>
      </c>
      <c r="H840" s="1">
        <v>0.9956559</v>
      </c>
      <c r="I840" s="1" t="s">
        <v>1018</v>
      </c>
    </row>
    <row r="841">
      <c r="A841" s="2" t="str">
        <f>HYPERLINK("https://ui.adsabs.harvard.edu/abs/2023QuIP...22...61S/abstract","2023QuIP...22...61S")</f>
        <v>2023QuIP...22...61S</v>
      </c>
      <c r="E841" s="2" t="str">
        <f>HYPERLINK("https://ui.adsabs.harvard.edu/abs/2021arXiv210605547S/abstract","2021arXiv210605547S")</f>
        <v>2021arXiv210605547S</v>
      </c>
      <c r="G841" s="1" t="s">
        <v>72</v>
      </c>
      <c r="H841" s="1">
        <v>0.9956844</v>
      </c>
      <c r="I841" s="1" t="s">
        <v>1019</v>
      </c>
    </row>
    <row r="842">
      <c r="A842" s="2" t="str">
        <f>HYPERLINK("https://ui.adsabs.harvard.edu/abs/2023PhRvD.107b4022L/abstract","2023PhRvD.107b4022L")</f>
        <v>2023PhRvD.107b4022L</v>
      </c>
      <c r="B842" s="2" t="str">
        <f>HYPERLINK("https://ui.adsabs.harvard.edu/abs/2022arXiv220705406L/abstract","2022arXiv220705406L")</f>
        <v>2022arXiv220705406L</v>
      </c>
      <c r="C842" s="1" t="s">
        <v>70</v>
      </c>
      <c r="E842" s="2" t="str">
        <f>HYPERLINK("https://ui.adsabs.harvard.edu/abs/2022arXiv220705406L/abstract","2022arXiv220705406L")</f>
        <v>2022arXiv220705406L</v>
      </c>
      <c r="G842" s="1" t="s">
        <v>72</v>
      </c>
      <c r="H842" s="1">
        <v>0.9957017</v>
      </c>
      <c r="I842" s="1" t="s">
        <v>1020</v>
      </c>
    </row>
    <row r="843">
      <c r="A843" s="2" t="str">
        <f>HYPERLINK("https://ui.adsabs.harvard.edu/abs/2023PhRvE.107a5304S/abstract","2023PhRvE.107a5304S")</f>
        <v>2023PhRvE.107a5304S</v>
      </c>
      <c r="B843" s="2" t="str">
        <f>HYPERLINK("https://ui.adsabs.harvard.edu/abs/2022arXiv221210680S/abstract","2022arXiv221210680S")</f>
        <v>2022arXiv221210680S</v>
      </c>
      <c r="C843" s="1" t="s">
        <v>70</v>
      </c>
      <c r="E843" s="2" t="str">
        <f>HYPERLINK("https://ui.adsabs.harvard.edu/abs/2022arXiv221210680S/abstract","2022arXiv221210680S")</f>
        <v>2022arXiv221210680S</v>
      </c>
      <c r="G843" s="1" t="s">
        <v>72</v>
      </c>
      <c r="H843" s="1">
        <v>0.9957017</v>
      </c>
      <c r="I843" s="1" t="s">
        <v>1020</v>
      </c>
    </row>
    <row r="844">
      <c r="A844" s="2" t="str">
        <f>HYPERLINK("https://ui.adsabs.harvard.edu/abs/2022Quant...6..698S/abstract","2022Quant...6..698S")</f>
        <v>2022Quant...6..698S</v>
      </c>
      <c r="B844" s="2" t="str">
        <f>HYPERLINK("https://ui.adsabs.harvard.edu/abs/2021arXiv211206036S/abstract","2021arXiv211206036S")</f>
        <v>2021arXiv211206036S</v>
      </c>
      <c r="C844" s="1" t="s">
        <v>70</v>
      </c>
      <c r="E844" s="2" t="str">
        <f>HYPERLINK("https://ui.adsabs.harvard.edu/abs/2021arXiv211206036S/abstract","2021arXiv211206036S")</f>
        <v>2021arXiv211206036S</v>
      </c>
      <c r="G844" s="1" t="s">
        <v>72</v>
      </c>
      <c r="H844" s="1">
        <v>0.9957017</v>
      </c>
      <c r="I844" s="1" t="s">
        <v>1020</v>
      </c>
    </row>
    <row r="845">
      <c r="A845" s="2" t="str">
        <f>HYPERLINK("https://ui.adsabs.harvard.edu/abs/2023Physi...5...72L/abstract","2023Physi...5...72L")</f>
        <v>2023Physi...5...72L</v>
      </c>
      <c r="B845" s="2" t="str">
        <f>HYPERLINK("https://ui.adsabs.harvard.edu/abs/2023arXiv230108985L/abstract","2023arXiv230108985L")</f>
        <v>2023arXiv230108985L</v>
      </c>
      <c r="C845" s="1" t="s">
        <v>70</v>
      </c>
      <c r="E845" s="2" t="str">
        <f>HYPERLINK("https://ui.adsabs.harvard.edu/abs/2023arXiv230108985L/abstract","2023arXiv230108985L")</f>
        <v>2023arXiv230108985L</v>
      </c>
      <c r="G845" s="1" t="s">
        <v>72</v>
      </c>
      <c r="H845" s="1">
        <v>0.9957191</v>
      </c>
      <c r="I845" s="1" t="s">
        <v>1021</v>
      </c>
    </row>
    <row r="846">
      <c r="A846" s="2" t="str">
        <f>HYPERLINK("https://ui.adsabs.harvard.edu/abs/2022Quant...6..674Z/abstract","2022Quant...6..674Z")</f>
        <v>2022Quant...6..674Z</v>
      </c>
      <c r="B846" s="2" t="str">
        <f>HYPERLINK("https://ui.adsabs.harvard.edu/abs/2021arXiv210111375Z/abstract","2021arXiv210111375Z")</f>
        <v>2021arXiv210111375Z</v>
      </c>
      <c r="C846" s="1" t="s">
        <v>70</v>
      </c>
      <c r="E846" s="2" t="str">
        <f>HYPERLINK("https://ui.adsabs.harvard.edu/abs/2021arXiv210111375Z/abstract","2021arXiv210111375Z")</f>
        <v>2021arXiv210111375Z</v>
      </c>
      <c r="G846" s="1" t="s">
        <v>72</v>
      </c>
      <c r="H846" s="1">
        <v>0.9957538</v>
      </c>
      <c r="I846" s="1" t="s">
        <v>1022</v>
      </c>
    </row>
    <row r="847">
      <c r="A847" s="2" t="str">
        <f>HYPERLINK("https://ui.adsabs.harvard.edu/abs/2021Quant...5..579Z/abstract","2021Quant...5..579Z")</f>
        <v>2021Quant...5..579Z</v>
      </c>
      <c r="B847" s="2" t="str">
        <f>HYPERLINK("https://ui.adsabs.harvard.edu/abs/2021arXiv210404088Z/abstract","2021arXiv210404088Z")</f>
        <v>2021arXiv210404088Z</v>
      </c>
      <c r="C847" s="1" t="s">
        <v>70</v>
      </c>
      <c r="E847" s="2" t="str">
        <f>HYPERLINK("https://ui.adsabs.harvard.edu/abs/2021arXiv210404088Z/abstract","2021arXiv210404088Z")</f>
        <v>2021arXiv210404088Z</v>
      </c>
      <c r="G847" s="1" t="s">
        <v>72</v>
      </c>
      <c r="H847" s="1">
        <v>0.9957643</v>
      </c>
      <c r="I847" s="1" t="s">
        <v>1023</v>
      </c>
    </row>
    <row r="848">
      <c r="A848" s="2" t="str">
        <f>HYPERLINK("https://ui.adsabs.harvard.edu/abs/2023NatPh..19...99Z/abstract","2023NatPh..19...99Z")</f>
        <v>2023NatPh..19...99Z</v>
      </c>
      <c r="B848" s="2" t="str">
        <f>HYPERLINK("https://ui.adsabs.harvard.edu/abs/2022arXiv220111719Z/abstract","2022arXiv220111719Z")</f>
        <v>2022arXiv220111719Z</v>
      </c>
      <c r="C848" s="1" t="s">
        <v>70</v>
      </c>
      <c r="E848" s="2" t="str">
        <f>HYPERLINK("https://ui.adsabs.harvard.edu/abs/2022arXiv220111719Z/abstract","2022arXiv220111719Z")</f>
        <v>2022arXiv220111719Z</v>
      </c>
      <c r="G848" s="1" t="s">
        <v>72</v>
      </c>
      <c r="H848" s="1">
        <v>0.9957985</v>
      </c>
      <c r="I848" s="1" t="s">
        <v>1024</v>
      </c>
    </row>
    <row r="849">
      <c r="A849" s="2" t="str">
        <f>HYPERLINK("https://ui.adsabs.harvard.edu/abs/2023PhRvA.107a2418K/abstract","2023PhRvA.107a2418K")</f>
        <v>2023PhRvA.107a2418K</v>
      </c>
      <c r="B849" s="2" t="str">
        <f>HYPERLINK("https://ui.adsabs.harvard.edu/abs/2022arXiv220606806K/abstract","2022arXiv220606806K")</f>
        <v>2022arXiv220606806K</v>
      </c>
      <c r="C849" s="1" t="s">
        <v>70</v>
      </c>
      <c r="E849" s="2" t="str">
        <f>HYPERLINK("https://ui.adsabs.harvard.edu/abs/2022arXiv220606806K/abstract","2022arXiv220606806K")</f>
        <v>2022arXiv220606806K</v>
      </c>
      <c r="G849" s="1" t="s">
        <v>72</v>
      </c>
      <c r="H849" s="1">
        <v>0.995809</v>
      </c>
      <c r="I849" s="1" t="s">
        <v>1025</v>
      </c>
    </row>
    <row r="850">
      <c r="A850" s="2" t="str">
        <f>HYPERLINK("https://ui.adsabs.harvard.edu/abs/2023PhRvB.107d5124Y/abstract","2023PhRvB.107d5124Y")</f>
        <v>2023PhRvB.107d5124Y</v>
      </c>
      <c r="B850" s="2" t="str">
        <f>HYPERLINK("https://ui.adsabs.harvard.edu/abs/2022arXiv220709547Y/abstract","2022arXiv220709547Y")</f>
        <v>2022arXiv220709547Y</v>
      </c>
      <c r="C850" s="1" t="s">
        <v>70</v>
      </c>
      <c r="E850" s="2" t="str">
        <f>HYPERLINK("https://ui.adsabs.harvard.edu/abs/2022arXiv220709547Y/abstract","2022arXiv220709547Y")</f>
        <v>2022arXiv220709547Y</v>
      </c>
      <c r="G850" s="1" t="s">
        <v>72</v>
      </c>
      <c r="H850" s="1">
        <v>0.995809</v>
      </c>
      <c r="I850" s="1" t="s">
        <v>1025</v>
      </c>
    </row>
    <row r="851">
      <c r="A851" s="2" t="str">
        <f>HYPERLINK("https://ui.adsabs.harvard.edu/abs/2018Quant...2...51P/abstract","2018Quant...2...51P")</f>
        <v>2018Quant...2...51P</v>
      </c>
      <c r="B851" s="2" t="str">
        <f>HYPERLINK("https://ui.adsabs.harvard.edu/abs/2017arXiv171003281P/abstract","2017arXiv171003281P")</f>
        <v>2017arXiv171003281P</v>
      </c>
      <c r="C851" s="1" t="s">
        <v>70</v>
      </c>
      <c r="E851" s="2" t="str">
        <f>HYPERLINK("https://ui.adsabs.harvard.edu/abs/2017arXiv171003281P/abstract","2017arXiv171003281P")</f>
        <v>2017arXiv171003281P</v>
      </c>
      <c r="G851" s="1" t="s">
        <v>72</v>
      </c>
      <c r="H851" s="1">
        <v>0.995809</v>
      </c>
      <c r="I851" s="1" t="s">
        <v>1025</v>
      </c>
    </row>
    <row r="852">
      <c r="A852" s="2" t="str">
        <f>HYPERLINK("https://ui.adsabs.harvard.edu/abs/2022Quant...6..795H/abstract","2022Quant...6..795H")</f>
        <v>2022Quant...6..795H</v>
      </c>
      <c r="B852" s="2" t="str">
        <f>HYPERLINK("https://ui.adsabs.harvard.edu/abs/2022arXiv220316571H/abstract","2022arXiv220316571H")</f>
        <v>2022arXiv220316571H</v>
      </c>
      <c r="C852" s="1" t="s">
        <v>70</v>
      </c>
      <c r="E852" s="2" t="str">
        <f>HYPERLINK("https://ui.adsabs.harvard.edu/abs/2022arXiv220316571H/abstract","2022arXiv220316571H")</f>
        <v>2022arXiv220316571H</v>
      </c>
      <c r="G852" s="1" t="s">
        <v>72</v>
      </c>
      <c r="H852" s="1">
        <v>0.995809</v>
      </c>
      <c r="I852" s="1" t="s">
        <v>1025</v>
      </c>
    </row>
    <row r="853">
      <c r="A853" s="2" t="str">
        <f>HYPERLINK("https://ui.adsabs.harvard.edu/abs/2023PhRvB.107c5128G/abstract","2023PhRvB.107c5128G")</f>
        <v>2023PhRvB.107c5128G</v>
      </c>
      <c r="B853" s="2" t="str">
        <f>HYPERLINK("https://ui.adsabs.harvard.edu/abs/2022arXiv220701163G/abstract","2022arXiv220701163G")</f>
        <v>2022arXiv220701163G</v>
      </c>
      <c r="C853" s="1" t="s">
        <v>70</v>
      </c>
      <c r="E853" s="2" t="str">
        <f>HYPERLINK("https://ui.adsabs.harvard.edu/abs/2022arXiv220701163G/abstract","2022arXiv220701163G")</f>
        <v>2022arXiv220701163G</v>
      </c>
      <c r="G853" s="1" t="s">
        <v>72</v>
      </c>
      <c r="H853" s="1">
        <v>0.9958532</v>
      </c>
      <c r="I853" s="1" t="s">
        <v>1026</v>
      </c>
    </row>
    <row r="854">
      <c r="A854" s="2" t="str">
        <f>HYPERLINK("https://ui.adsabs.harvard.edu/abs/2023PhRvE.107a4209G/abstract","2023PhRvE.107a4209G")</f>
        <v>2023PhRvE.107a4209G</v>
      </c>
      <c r="B854" s="2" t="str">
        <f>HYPERLINK("https://ui.adsabs.harvard.edu/abs/2022arXiv220808121G/abstract","2022arXiv220808121G")</f>
        <v>2022arXiv220808121G</v>
      </c>
      <c r="C854" s="1" t="s">
        <v>70</v>
      </c>
      <c r="E854" s="2" t="str">
        <f>HYPERLINK("https://ui.adsabs.harvard.edu/abs/2022arXiv220808121G/abstract","2022arXiv220808121G")</f>
        <v>2022arXiv220808121G</v>
      </c>
      <c r="G854" s="1" t="s">
        <v>72</v>
      </c>
      <c r="H854" s="1">
        <v>0.9958532</v>
      </c>
      <c r="I854" s="1" t="s">
        <v>1026</v>
      </c>
    </row>
    <row r="855">
      <c r="A855" s="2" t="str">
        <f>HYPERLINK("https://ui.adsabs.harvard.edu/abs/2023PhRvR...5a3019W/abstract","2023PhRvR...5a3019W")</f>
        <v>2023PhRvR...5a3019W</v>
      </c>
      <c r="B855" s="2" t="str">
        <f>HYPERLINK("https://ui.adsabs.harvard.edu/abs/2022arXiv221208813W/abstract","2022arXiv221208813W")</f>
        <v>2022arXiv221208813W</v>
      </c>
      <c r="C855" s="1" t="s">
        <v>70</v>
      </c>
      <c r="E855" s="2" t="str">
        <f>HYPERLINK("https://ui.adsabs.harvard.edu/abs/2022arXiv221208813W/abstract","2022arXiv221208813W")</f>
        <v>2022arXiv221208813W</v>
      </c>
      <c r="G855" s="1" t="s">
        <v>72</v>
      </c>
      <c r="H855" s="1">
        <v>0.9958532</v>
      </c>
      <c r="I855" s="1" t="s">
        <v>1026</v>
      </c>
    </row>
    <row r="856">
      <c r="A856" s="2" t="str">
        <f>HYPERLINK("https://ui.adsabs.harvard.edu/abs/2020Quant...4..274S/abstract","2020Quant...4..274S")</f>
        <v>2020Quant...4..274S</v>
      </c>
      <c r="B856" s="2" t="str">
        <f>HYPERLINK("https://ui.adsabs.harvard.edu/abs/2019arXiv191202099S/abstract","2019arXiv191202099S")</f>
        <v>2019arXiv191202099S</v>
      </c>
      <c r="C856" s="1" t="s">
        <v>70</v>
      </c>
      <c r="E856" s="2" t="str">
        <f>HYPERLINK("https://ui.adsabs.harvard.edu/abs/2019arXiv191202099S/abstract","2019arXiv191202099S")</f>
        <v>2019arXiv191202099S</v>
      </c>
      <c r="G856" s="1" t="s">
        <v>72</v>
      </c>
      <c r="H856" s="1">
        <v>0.9958532</v>
      </c>
      <c r="I856" s="1" t="s">
        <v>1026</v>
      </c>
    </row>
    <row r="857">
      <c r="A857" s="2" t="str">
        <f>HYPERLINK("https://ui.adsabs.harvard.edu/abs/2020Quant...4..281M/abstract","2020Quant...4..281M")</f>
        <v>2020Quant...4..281M</v>
      </c>
      <c r="B857" s="2" t="str">
        <f>HYPERLINK("https://ui.adsabs.harvard.edu/abs/2019arXiv190904821M/abstract","2019arXiv190904821M")</f>
        <v>2019arXiv190904821M</v>
      </c>
      <c r="C857" s="1" t="s">
        <v>70</v>
      </c>
      <c r="E857" s="2" t="str">
        <f>HYPERLINK("https://ui.adsabs.harvard.edu/abs/2019arXiv190904821M/abstract","2019arXiv190904821M")</f>
        <v>2019arXiv190904821M</v>
      </c>
      <c r="G857" s="1" t="s">
        <v>72</v>
      </c>
      <c r="H857" s="1">
        <v>0.9958532</v>
      </c>
      <c r="I857" s="1" t="s">
        <v>1026</v>
      </c>
    </row>
    <row r="858">
      <c r="A858" s="2" t="str">
        <f>HYPERLINK("https://ui.adsabs.harvard.edu/abs/2021Quant...5..509W/abstract","2021Quant...5..509W")</f>
        <v>2021Quant...5..509W</v>
      </c>
      <c r="B858" s="2" t="str">
        <f>HYPERLINK("https://ui.adsabs.harvard.edu/abs/2020arXiv200404151W/abstract","2020arXiv200404151W")</f>
        <v>2020arXiv200404151W</v>
      </c>
      <c r="C858" s="1" t="s">
        <v>70</v>
      </c>
      <c r="E858" s="2" t="str">
        <f>HYPERLINK("https://ui.adsabs.harvard.edu/abs/2020arXiv200404151W/abstract","2020arXiv200404151W")</f>
        <v>2020arXiv200404151W</v>
      </c>
      <c r="G858" s="1" t="s">
        <v>72</v>
      </c>
      <c r="H858" s="1">
        <v>0.9958532</v>
      </c>
      <c r="I858" s="1" t="s">
        <v>1026</v>
      </c>
    </row>
    <row r="859">
      <c r="A859" s="2" t="str">
        <f>HYPERLINK("https://ui.adsabs.harvard.edu/abs/2022JETPL.116..729S/abstract","2022JETPL.116..729S")</f>
        <v>2022JETPL.116..729S</v>
      </c>
      <c r="E859" s="2" t="str">
        <f>HYPERLINK("https://ui.adsabs.harvard.edu/abs/2022JETPL.tmp...88S/abstract","2022JETPL.tmp...88S")</f>
        <v>2022JETPL.tmp...88S</v>
      </c>
      <c r="G859" s="1" t="s">
        <v>72</v>
      </c>
      <c r="H859" s="1">
        <v>0.9958699</v>
      </c>
      <c r="I859" s="1" t="s">
        <v>1027</v>
      </c>
    </row>
    <row r="860">
      <c r="A860" s="2" t="str">
        <f>HYPERLINK("https://ui.adsabs.harvard.edu/abs/2019Quant...3..185B/abstract","2019Quant...3..185B")</f>
        <v>2019Quant...3..185B</v>
      </c>
      <c r="E860" s="2" t="str">
        <f>HYPERLINK("https://ui.adsabs.harvard.edu/abs/2017arXiv170302773B/abstract","2017arXiv170302773B")</f>
        <v>2017arXiv170302773B</v>
      </c>
      <c r="G860" s="1" t="s">
        <v>72</v>
      </c>
      <c r="H860" s="1">
        <v>0.9958701</v>
      </c>
      <c r="I860" s="1" t="s">
        <v>1028</v>
      </c>
    </row>
    <row r="861">
      <c r="A861" s="2" t="str">
        <f>HYPERLINK("https://ui.adsabs.harvard.edu/abs/2022Quant...6..646F/abstract","2022Quant...6..646F")</f>
        <v>2022Quant...6..646F</v>
      </c>
      <c r="E861" s="2" t="str">
        <f>HYPERLINK("https://ui.adsabs.harvard.edu/abs/2020arXiv201007712F/abstract","2020arXiv201007712F")</f>
        <v>2020arXiv201007712F</v>
      </c>
      <c r="G861" s="1" t="s">
        <v>72</v>
      </c>
      <c r="H861" s="1">
        <v>0.9958701</v>
      </c>
      <c r="I861" s="1" t="s">
        <v>1028</v>
      </c>
    </row>
    <row r="862">
      <c r="A862" s="2" t="str">
        <f>HYPERLINK("https://ui.adsabs.harvard.edu/abs/2023RaPC..20610791G/abstract","2023RaPC..20610791G")</f>
        <v>2023RaPC..20610791G</v>
      </c>
      <c r="B862" s="2" t="str">
        <f>HYPERLINK("https://ui.adsabs.harvard.edu/abs/2022arXiv220607338G/abstract","2022arXiv220607338G")</f>
        <v>2022arXiv220607338G</v>
      </c>
      <c r="C862" s="1" t="s">
        <v>70</v>
      </c>
      <c r="E862" s="2" t="str">
        <f>HYPERLINK("https://ui.adsabs.harvard.edu/abs/2022arXiv220607338G/abstract","2022arXiv220607338G")</f>
        <v>2022arXiv220607338G</v>
      </c>
      <c r="G862" s="1" t="s">
        <v>72</v>
      </c>
      <c r="H862" s="1">
        <v>0.9958867</v>
      </c>
      <c r="I862" s="1" t="s">
        <v>1029</v>
      </c>
    </row>
    <row r="863">
      <c r="A863" s="2" t="str">
        <f>HYPERLINK("https://ui.adsabs.harvard.edu/abs/2022Quant...6..694D/abstract","2022Quant...6..694D")</f>
        <v>2022Quant...6..694D</v>
      </c>
      <c r="B863" s="2" t="str">
        <f>HYPERLINK("https://ui.adsabs.harvard.edu/abs/2021arXiv210714562D/abstract","2021arXiv210714562D")</f>
        <v>2021arXiv210714562D</v>
      </c>
      <c r="C863" s="1" t="s">
        <v>70</v>
      </c>
      <c r="E863" s="2" t="str">
        <f>HYPERLINK("https://ui.adsabs.harvard.edu/abs/2021arXiv210714562D/abstract","2021arXiv210714562D")</f>
        <v>2021arXiv210714562D</v>
      </c>
      <c r="G863" s="1" t="s">
        <v>72</v>
      </c>
      <c r="H863" s="1">
        <v>0.9958867</v>
      </c>
      <c r="I863" s="1" t="s">
        <v>1029</v>
      </c>
    </row>
    <row r="864">
      <c r="A864" s="2" t="str">
        <f>HYPERLINK("https://ui.adsabs.harvard.edu/abs/2023JPhA...56a5302W/abstract","2023JPhA...56a5302W")</f>
        <v>2023JPhA...56a5302W</v>
      </c>
      <c r="B864" s="2" t="str">
        <f>HYPERLINK("https://ui.adsabs.harvard.edu/abs/2022arXiv220506343W/abstract","2022arXiv220506343W")</f>
        <v>2022arXiv220506343W</v>
      </c>
      <c r="C864" s="1" t="s">
        <v>70</v>
      </c>
      <c r="E864" s="2" t="str">
        <f>HYPERLINK("https://ui.adsabs.harvard.edu/abs/2022arXiv220506343W/abstract","2022arXiv220506343W")</f>
        <v>2022arXiv220506343W</v>
      </c>
      <c r="G864" s="1" t="s">
        <v>72</v>
      </c>
      <c r="H864" s="1">
        <v>0.9958867</v>
      </c>
      <c r="I864" s="1" t="s">
        <v>1029</v>
      </c>
    </row>
    <row r="865">
      <c r="A865" s="2" t="str">
        <f>HYPERLINK("https://ui.adsabs.harvard.edu/abs/2023PhRvF...8a4303S/abstract","2023PhRvF...8a4303S")</f>
        <v>2023PhRvF...8a4303S</v>
      </c>
      <c r="B865" s="2" t="str">
        <f>HYPERLINK("https://ui.adsabs.harvard.edu/abs/2022arXiv220708888S/abstract","2022arXiv220708888S")</f>
        <v>2022arXiv220708888S</v>
      </c>
      <c r="C865" s="1" t="s">
        <v>70</v>
      </c>
      <c r="E865" s="2" t="str">
        <f>HYPERLINK("https://ui.adsabs.harvard.edu/abs/2022arXiv220708888S/abstract","2022arXiv220708888S")</f>
        <v>2022arXiv220708888S</v>
      </c>
      <c r="G865" s="1" t="s">
        <v>72</v>
      </c>
      <c r="H865" s="1">
        <v>0.9959135</v>
      </c>
      <c r="I865" s="1" t="s">
        <v>1030</v>
      </c>
    </row>
    <row r="866">
      <c r="A866" s="2" t="str">
        <f>HYPERLINK("https://ui.adsabs.harvard.edu/abs/2023PhRvB.107b4202W/abstract","2023PhRvB.107b4202W")</f>
        <v>2023PhRvB.107b4202W</v>
      </c>
      <c r="B866" s="2" t="str">
        <f>HYPERLINK("https://ui.adsabs.harvard.edu/abs/2022arXiv220907072W/abstract","2022arXiv220907072W")</f>
        <v>2022arXiv220907072W</v>
      </c>
      <c r="C866" s="1" t="s">
        <v>70</v>
      </c>
      <c r="E866" s="2" t="str">
        <f>HYPERLINK("https://ui.adsabs.harvard.edu/abs/2022arXiv220907072W/abstract","2022arXiv220907072W")</f>
        <v>2022arXiv220907072W</v>
      </c>
      <c r="G866" s="1" t="s">
        <v>72</v>
      </c>
      <c r="H866" s="1">
        <v>0.9959301</v>
      </c>
      <c r="I866" s="1" t="s">
        <v>1031</v>
      </c>
    </row>
    <row r="867">
      <c r="A867" s="2" t="str">
        <f>HYPERLINK("https://ui.adsabs.harvard.edu/abs/2023JApA...44....2M/abstract","2023JApA...44....2M")</f>
        <v>2023JApA...44....2M</v>
      </c>
      <c r="B867" s="2" t="str">
        <f>HYPERLINK("https://ui.adsabs.harvard.edu/abs/2022arXiv221109738M/abstract","2022arXiv221109738M")</f>
        <v>2022arXiv221109738M</v>
      </c>
      <c r="C867" s="1" t="s">
        <v>70</v>
      </c>
      <c r="E867" s="2" t="str">
        <f>HYPERLINK("https://ui.adsabs.harvard.edu/abs/2022arXiv221109738M/abstract","2022arXiv221109738M")</f>
        <v>2022arXiv221109738M</v>
      </c>
      <c r="G867" s="1" t="s">
        <v>72</v>
      </c>
      <c r="H867" s="1">
        <v>0.9959566</v>
      </c>
      <c r="I867" s="1" t="s">
        <v>1032</v>
      </c>
    </row>
    <row r="868">
      <c r="A868" s="2" t="str">
        <f>HYPERLINK("https://ui.adsabs.harvard.edu/abs/2023EPJC...83...28W/abstract","2023EPJC...83...28W")</f>
        <v>2023EPJC...83...28W</v>
      </c>
      <c r="B868" s="2" t="str">
        <f>HYPERLINK("https://ui.adsabs.harvard.edu/abs/2023arXiv230107449W/abstract","2023arXiv230107449W")</f>
        <v>2023arXiv230107449W</v>
      </c>
      <c r="C868" s="1" t="s">
        <v>70</v>
      </c>
      <c r="E868" s="2" t="str">
        <f>HYPERLINK("https://ui.adsabs.harvard.edu/abs/2023arXiv230107449W/abstract","2023arXiv230107449W")</f>
        <v>2023arXiv230107449W</v>
      </c>
      <c r="G868" s="1" t="s">
        <v>72</v>
      </c>
      <c r="H868" s="1">
        <v>0.9959566</v>
      </c>
      <c r="I868" s="1" t="s">
        <v>1032</v>
      </c>
    </row>
    <row r="869">
      <c r="A869" s="2" t="str">
        <f>HYPERLINK("https://ui.adsabs.harvard.edu/abs/2020Quant...4..229E/abstract","2020Quant...4..229E")</f>
        <v>2020Quant...4..229E</v>
      </c>
      <c r="B869" s="2" t="str">
        <f>HYPERLINK("https://ui.adsabs.harvard.edu/abs/2019arXiv190804220E/abstract","2019arXiv190804220E")</f>
        <v>2019arXiv190804220E</v>
      </c>
      <c r="C869" s="1" t="s">
        <v>70</v>
      </c>
      <c r="E869" s="2" t="str">
        <f>HYPERLINK("https://ui.adsabs.harvard.edu/abs/2019arXiv190804220E/abstract","2019arXiv190804220E")</f>
        <v>2019arXiv190804220E</v>
      </c>
      <c r="G869" s="1" t="s">
        <v>72</v>
      </c>
      <c r="H869" s="1">
        <v>0.9959566</v>
      </c>
      <c r="I869" s="1" t="s">
        <v>1032</v>
      </c>
    </row>
    <row r="870">
      <c r="A870" s="2" t="str">
        <f>HYPERLINK("https://ui.adsabs.harvard.edu/abs/2020Quant...4..287L/abstract","2020Quant...4..287L")</f>
        <v>2020Quant...4..287L</v>
      </c>
      <c r="B870" s="2" t="str">
        <f>HYPERLINK("https://ui.adsabs.harvard.edu/abs/2019arXiv191001659L/abstract","2019arXiv191001659L")</f>
        <v>2019arXiv191001659L</v>
      </c>
      <c r="C870" s="1" t="s">
        <v>70</v>
      </c>
      <c r="E870" s="2" t="str">
        <f>HYPERLINK("https://ui.adsabs.harvard.edu/abs/2019arXiv191001659L/abstract","2019arXiv191001659L")</f>
        <v>2019arXiv191001659L</v>
      </c>
      <c r="G870" s="1" t="s">
        <v>72</v>
      </c>
      <c r="H870" s="1">
        <v>0.995973</v>
      </c>
      <c r="I870" s="1" t="s">
        <v>1033</v>
      </c>
    </row>
    <row r="871">
      <c r="A871" s="2" t="str">
        <f>HYPERLINK("https://ui.adsabs.harvard.edu/abs/2020Quant...4..313L/abstract","2020Quant...4..313L")</f>
        <v>2020Quant...4..313L</v>
      </c>
      <c r="B871" s="2" t="str">
        <f>HYPERLINK("https://ui.adsabs.harvard.edu/abs/2019arXiv191106742L/abstract","2019arXiv191106742L")</f>
        <v>2019arXiv191106742L</v>
      </c>
      <c r="C871" s="1" t="s">
        <v>70</v>
      </c>
      <c r="E871" s="2" t="str">
        <f>HYPERLINK("https://ui.adsabs.harvard.edu/abs/2019arXiv191106742L/abstract","2019arXiv191106742L")</f>
        <v>2019arXiv191106742L</v>
      </c>
      <c r="G871" s="1" t="s">
        <v>72</v>
      </c>
      <c r="H871" s="1">
        <v>0.995973</v>
      </c>
      <c r="I871" s="1" t="s">
        <v>1033</v>
      </c>
    </row>
    <row r="872">
      <c r="A872" s="2" t="str">
        <f>HYPERLINK("https://ui.adsabs.harvard.edu/abs/2021Quant...5..381W/abstract","2021Quant...5..381W")</f>
        <v>2021Quant...5..381W</v>
      </c>
      <c r="B872" s="2" t="str">
        <f>HYPERLINK("https://ui.adsabs.harvard.edu/abs/2020arXiv200504628W/abstract","2020arXiv200504628W")</f>
        <v>2020arXiv200504628W</v>
      </c>
      <c r="C872" s="1" t="s">
        <v>70</v>
      </c>
      <c r="E872" s="2" t="str">
        <f>HYPERLINK("https://ui.adsabs.harvard.edu/abs/2020arXiv200504628W/abstract","2020arXiv200504628W")</f>
        <v>2020arXiv200504628W</v>
      </c>
      <c r="G872" s="1" t="s">
        <v>72</v>
      </c>
      <c r="H872" s="1">
        <v>0.995973</v>
      </c>
      <c r="I872" s="1" t="s">
        <v>1033</v>
      </c>
    </row>
    <row r="873">
      <c r="A873" s="2" t="str">
        <f>HYPERLINK("https://ui.adsabs.harvard.edu/abs/2021Quant...5..606Q/abstract","2021Quant...5..606Q")</f>
        <v>2021Quant...5..606Q</v>
      </c>
      <c r="B873" s="2" t="str">
        <f>HYPERLINK("https://ui.adsabs.harvard.edu/abs/2021arXiv210607740Q/abstract","2021arXiv210607740Q")</f>
        <v>2021arXiv210607740Q</v>
      </c>
      <c r="C873" s="1" t="s">
        <v>70</v>
      </c>
      <c r="E873" s="2" t="str">
        <f>HYPERLINK("https://ui.adsabs.harvard.edu/abs/2021arXiv210607740Q/abstract","2021arXiv210607740Q")</f>
        <v>2021arXiv210607740Q</v>
      </c>
      <c r="G873" s="1" t="s">
        <v>72</v>
      </c>
      <c r="H873" s="1">
        <v>0.995973</v>
      </c>
      <c r="I873" s="1" t="s">
        <v>1033</v>
      </c>
    </row>
    <row r="874">
      <c r="A874" s="2" t="str">
        <f>HYPERLINK("https://ui.adsabs.harvard.edu/abs/2022Quant...6..859Z/abstract","2022Quant...6..859Z")</f>
        <v>2022Quant...6..859Z</v>
      </c>
      <c r="B874" s="2" t="str">
        <f>HYPERLINK("https://ui.adsabs.harvard.edu/abs/2022arXiv220111366Z/abstract","2022arXiv220111366Z")</f>
        <v>2022arXiv220111366Z</v>
      </c>
      <c r="C874" s="1" t="s">
        <v>70</v>
      </c>
      <c r="E874" s="2" t="str">
        <f>HYPERLINK("https://ui.adsabs.harvard.edu/abs/2022arXiv220111366Z/abstract","2022arXiv220111366Z")</f>
        <v>2022arXiv220111366Z</v>
      </c>
      <c r="G874" s="1" t="s">
        <v>72</v>
      </c>
      <c r="H874" s="1">
        <v>0.995973</v>
      </c>
      <c r="I874" s="1" t="s">
        <v>1033</v>
      </c>
    </row>
    <row r="875">
      <c r="A875" s="2" t="str">
        <f>HYPERLINK("https://ui.adsabs.harvard.edu/abs/2023JHEP...01..042B/abstract","2023JHEP...01..042B")</f>
        <v>2023JHEP...01..042B</v>
      </c>
      <c r="B875" s="2" t="str">
        <f>HYPERLINK("https://ui.adsabs.harvard.edu/abs/2022arXiv220401622B/abstract","2022arXiv220401622B")</f>
        <v>2022arXiv220401622B</v>
      </c>
      <c r="C875" s="1" t="s">
        <v>70</v>
      </c>
      <c r="E875" s="2" t="str">
        <f>HYPERLINK("https://ui.adsabs.harvard.edu/abs/2022arXiv220401622B/abstract","2022arXiv220401622B")</f>
        <v>2022arXiv220401622B</v>
      </c>
      <c r="G875" s="1" t="s">
        <v>72</v>
      </c>
      <c r="H875" s="1">
        <v>0.9959993</v>
      </c>
      <c r="I875" s="1" t="s">
        <v>1034</v>
      </c>
    </row>
    <row r="876">
      <c r="A876" s="2" t="str">
        <f>HYPERLINK("https://ui.adsabs.harvard.edu/abs/2023PhRvA.107a3108K/abstract","2023PhRvA.107a3108K")</f>
        <v>2023PhRvA.107a3108K</v>
      </c>
      <c r="B876" s="2" t="str">
        <f>HYPERLINK("https://ui.adsabs.harvard.edu/abs/2022arXiv220702169K/abstract","2022arXiv220702169K")</f>
        <v>2022arXiv220702169K</v>
      </c>
      <c r="C876" s="1" t="s">
        <v>70</v>
      </c>
      <c r="E876" s="2" t="str">
        <f>HYPERLINK("https://ui.adsabs.harvard.edu/abs/2022arXiv220702169K/abstract","2022arXiv220702169K")</f>
        <v>2022arXiv220702169K</v>
      </c>
      <c r="G876" s="1" t="s">
        <v>72</v>
      </c>
      <c r="H876" s="1">
        <v>0.9959993</v>
      </c>
      <c r="I876" s="1" t="s">
        <v>1034</v>
      </c>
    </row>
    <row r="877">
      <c r="A877" s="2" t="str">
        <f>HYPERLINK("https://ui.adsabs.harvard.edu/abs/2023PhRvB.107d5123K/abstract","2023PhRvB.107d5123K")</f>
        <v>2023PhRvB.107d5123K</v>
      </c>
      <c r="B877" s="2" t="str">
        <f>HYPERLINK("https://ui.adsabs.harvard.edu/abs/2022arXiv220809902K/abstract","2022arXiv220809902K")</f>
        <v>2022arXiv220809902K</v>
      </c>
      <c r="C877" s="1" t="s">
        <v>70</v>
      </c>
      <c r="E877" s="2" t="str">
        <f>HYPERLINK("https://ui.adsabs.harvard.edu/abs/2022arXiv220809902K/abstract","2022arXiv220809902K")</f>
        <v>2022arXiv220809902K</v>
      </c>
      <c r="G877" s="1" t="s">
        <v>72</v>
      </c>
      <c r="H877" s="1">
        <v>0.9959993</v>
      </c>
      <c r="I877" s="1" t="s">
        <v>1034</v>
      </c>
    </row>
    <row r="878">
      <c r="A878" s="2" t="str">
        <f>HYPERLINK("https://ui.adsabs.harvard.edu/abs/2023OMExp..13..447B/abstract","2023OMExp..13..447B")</f>
        <v>2023OMExp..13..447B</v>
      </c>
      <c r="B878" s="2" t="str">
        <f>HYPERLINK("https://ui.adsabs.harvard.edu/abs/2023arXiv230106899B/abstract","2023arXiv230106899B")</f>
        <v>2023arXiv230106899B</v>
      </c>
      <c r="C878" s="1" t="s">
        <v>70</v>
      </c>
      <c r="E878" s="2" t="str">
        <f>HYPERLINK("https://ui.adsabs.harvard.edu/abs/2023arXiv230106899B/abstract","2023arXiv230106899B")</f>
        <v>2023arXiv230106899B</v>
      </c>
      <c r="G878" s="1" t="s">
        <v>72</v>
      </c>
      <c r="H878" s="1">
        <v>0.9959993</v>
      </c>
      <c r="I878" s="1" t="s">
        <v>1034</v>
      </c>
    </row>
    <row r="879">
      <c r="A879" s="2" t="str">
        <f>HYPERLINK("https://ui.adsabs.harvard.edu/abs/2017Quant...1...40M/abstract","2017Quant...1...40M")</f>
        <v>2017Quant...1...40M</v>
      </c>
      <c r="B879" s="2" t="str">
        <f>HYPERLINK("https://ui.adsabs.harvard.edu/abs/2017arXiv170302934M/abstract","2017arXiv170302934M")</f>
        <v>2017arXiv170302934M</v>
      </c>
      <c r="C879" s="1" t="s">
        <v>70</v>
      </c>
      <c r="E879" s="2" t="str">
        <f>HYPERLINK("https://ui.adsabs.harvard.edu/abs/2017arXiv170302934M/abstract","2017arXiv170302934M")</f>
        <v>2017arXiv170302934M</v>
      </c>
      <c r="G879" s="1" t="s">
        <v>72</v>
      </c>
      <c r="H879" s="1">
        <v>0.9959993</v>
      </c>
      <c r="I879" s="1" t="s">
        <v>1034</v>
      </c>
    </row>
    <row r="880">
      <c r="A880" s="2" t="str">
        <f>HYPERLINK("https://ui.adsabs.harvard.edu/abs/2021Quant...5..430B/abstract","2021Quant...5..430B")</f>
        <v>2021Quant...5..430B</v>
      </c>
      <c r="B880" s="2" t="str">
        <f>HYPERLINK("https://ui.adsabs.harvard.edu/abs/2020arXiv200911691B/abstract","2020arXiv200911691B")</f>
        <v>2020arXiv200911691B</v>
      </c>
      <c r="C880" s="1" t="s">
        <v>70</v>
      </c>
      <c r="E880" s="2" t="str">
        <f>HYPERLINK("https://ui.adsabs.harvard.edu/abs/2020arXiv200911691B/abstract","2020arXiv200911691B")</f>
        <v>2020arXiv200911691B</v>
      </c>
      <c r="G880" s="1" t="s">
        <v>72</v>
      </c>
      <c r="H880" s="1">
        <v>0.9959993</v>
      </c>
      <c r="I880" s="1" t="s">
        <v>1034</v>
      </c>
    </row>
    <row r="881">
      <c r="A881" s="2" t="str">
        <f>HYPERLINK("https://ui.adsabs.harvard.edu/abs/2022Quant...6..757M/abstract","2022Quant...6..757M")</f>
        <v>2022Quant...6..757M</v>
      </c>
      <c r="B881" s="2" t="str">
        <f>HYPERLINK("https://ui.adsabs.harvard.edu/abs/2021arXiv210910833M/abstract","2021arXiv210910833M")</f>
        <v>2021arXiv210910833M</v>
      </c>
      <c r="C881" s="1" t="s">
        <v>70</v>
      </c>
      <c r="E881" s="2" t="str">
        <f>HYPERLINK("https://ui.adsabs.harvard.edu/abs/2021arXiv210910833M/abstract","2021arXiv210910833M")</f>
        <v>2021arXiv210910833M</v>
      </c>
      <c r="G881" s="1" t="s">
        <v>72</v>
      </c>
      <c r="H881" s="1">
        <v>0.9959993</v>
      </c>
      <c r="I881" s="1" t="s">
        <v>1034</v>
      </c>
    </row>
    <row r="882">
      <c r="A882" s="2" t="str">
        <f>HYPERLINK("https://ui.adsabs.harvard.edu/abs/2023PhRvA.107a2212S/abstract","2023PhRvA.107a2212S")</f>
        <v>2023PhRvA.107a2212S</v>
      </c>
      <c r="B882" s="2" t="str">
        <f>HYPERLINK("https://ui.adsabs.harvard.edu/abs/2022arXiv220905444S/abstract","2022arXiv220905444S")</f>
        <v>2022arXiv220905444S</v>
      </c>
      <c r="C882" s="1" t="s">
        <v>70</v>
      </c>
      <c r="E882" s="2" t="str">
        <f>HYPERLINK("https://ui.adsabs.harvard.edu/abs/2022arXiv220905444S/abstract","2022arXiv220905444S")</f>
        <v>2022arXiv220905444S</v>
      </c>
      <c r="G882" s="1" t="s">
        <v>72</v>
      </c>
      <c r="H882" s="1">
        <v>0.9960155</v>
      </c>
      <c r="I882" s="1" t="s">
        <v>1035</v>
      </c>
    </row>
    <row r="883">
      <c r="A883" s="2" t="str">
        <f>HYPERLINK("https://ui.adsabs.harvard.edu/abs/2023OptL...48..538B/abstract","2023OptL...48..538B")</f>
        <v>2023OptL...48..538B</v>
      </c>
      <c r="B883" s="2" t="str">
        <f>HYPERLINK("https://ui.adsabs.harvard.edu/abs/2022arXiv220606740B/abstract","2022arXiv220606740B")</f>
        <v>2022arXiv220606740B</v>
      </c>
      <c r="C883" s="1" t="s">
        <v>70</v>
      </c>
      <c r="E883" s="2" t="str">
        <f>HYPERLINK("https://ui.adsabs.harvard.edu/abs/2022arXiv220606740B/abstract","2022arXiv220606740B")</f>
        <v>2022arXiv220606740B</v>
      </c>
      <c r="G883" s="1" t="s">
        <v>72</v>
      </c>
      <c r="H883" s="1">
        <v>0.9960155</v>
      </c>
      <c r="I883" s="1" t="s">
        <v>1035</v>
      </c>
    </row>
    <row r="884">
      <c r="A884" s="2" t="str">
        <f>HYPERLINK("https://ui.adsabs.harvard.edu/abs/2018Quant...2...66M/abstract","2018Quant...2...66M")</f>
        <v>2018Quant...2...66M</v>
      </c>
      <c r="B884" s="2" t="str">
        <f>HYPERLINK("https://ui.adsabs.harvard.edu/abs/2017arXiv170503968M/abstract","2017arXiv170503968M")</f>
        <v>2017arXiv170503968M</v>
      </c>
      <c r="C884" s="1" t="s">
        <v>70</v>
      </c>
      <c r="E884" s="2" t="str">
        <f>HYPERLINK("https://ui.adsabs.harvard.edu/abs/2017arXiv170503968M/abstract","2017arXiv170503968M")</f>
        <v>2017arXiv170503968M</v>
      </c>
      <c r="G884" s="1" t="s">
        <v>72</v>
      </c>
      <c r="H884" s="1">
        <v>0.9960155</v>
      </c>
      <c r="I884" s="1" t="s">
        <v>1035</v>
      </c>
    </row>
    <row r="885">
      <c r="A885" s="2" t="str">
        <f>HYPERLINK("https://ui.adsabs.harvard.edu/abs/2018Quant...2...86B/abstract","2018Quant...2...86B")</f>
        <v>2018Quant...2...86B</v>
      </c>
      <c r="B885" s="2" t="str">
        <f>HYPERLINK("https://ui.adsabs.harvard.edu/abs/2017arXiv170402130B/abstract","2017arXiv170402130B")</f>
        <v>2017arXiv170402130B</v>
      </c>
      <c r="C885" s="1" t="s">
        <v>70</v>
      </c>
      <c r="E885" s="2" t="str">
        <f>HYPERLINK("https://ui.adsabs.harvard.edu/abs/2017arXiv170402130B/abstract","2017arXiv170402130B")</f>
        <v>2017arXiv170402130B</v>
      </c>
      <c r="G885" s="1" t="s">
        <v>72</v>
      </c>
      <c r="H885" s="1">
        <v>0.9960155</v>
      </c>
      <c r="I885" s="1" t="s">
        <v>1035</v>
      </c>
    </row>
    <row r="886">
      <c r="A886" s="2" t="str">
        <f>HYPERLINK("https://ui.adsabs.harvard.edu/abs/2019Quant...3..132H/abstract","2019Quant...3..132H")</f>
        <v>2019Quant...3..132H</v>
      </c>
      <c r="B886" s="2" t="str">
        <f>HYPERLINK("https://ui.adsabs.harvard.edu/abs/2018arXiv180710296H/abstract","2018arXiv180710296H")</f>
        <v>2018arXiv180710296H</v>
      </c>
      <c r="C886" s="1" t="s">
        <v>70</v>
      </c>
      <c r="E886" s="2" t="str">
        <f>HYPERLINK("https://ui.adsabs.harvard.edu/abs/2018arXiv180710296H/abstract","2018arXiv180710296H")</f>
        <v>2018arXiv180710296H</v>
      </c>
      <c r="G886" s="1" t="s">
        <v>72</v>
      </c>
      <c r="H886" s="1">
        <v>0.9960155</v>
      </c>
      <c r="I886" s="1" t="s">
        <v>1035</v>
      </c>
    </row>
    <row r="887">
      <c r="A887" s="2" t="str">
        <f>HYPERLINK("https://ui.adsabs.harvard.edu/abs/2020Quant...4..276J/abstract","2020Quant...4..276J")</f>
        <v>2020Quant...4..276J</v>
      </c>
      <c r="B887" s="2" t="str">
        <f>HYPERLINK("https://ui.adsabs.harvard.edu/abs/2019arXiv191010746J/abstract","2019arXiv191010746J")</f>
        <v>2019arXiv191010746J</v>
      </c>
      <c r="C887" s="1" t="s">
        <v>70</v>
      </c>
      <c r="E887" s="2" t="str">
        <f>HYPERLINK("https://ui.adsabs.harvard.edu/abs/2019arXiv191010746J/abstract","2019arXiv191010746J")</f>
        <v>2019arXiv191010746J</v>
      </c>
      <c r="G887" s="1" t="s">
        <v>72</v>
      </c>
      <c r="H887" s="1">
        <v>0.9960155</v>
      </c>
      <c r="I887" s="1" t="s">
        <v>1035</v>
      </c>
    </row>
    <row r="888">
      <c r="A888" s="2" t="str">
        <f>HYPERLINK("https://ui.adsabs.harvard.edu/abs/2021Quant...5..453L/abstract","2021Quant...5..453L")</f>
        <v>2021Quant...5..453L</v>
      </c>
      <c r="B888" s="2" t="str">
        <f>HYPERLINK("https://ui.adsabs.harvard.edu/abs/2021arXiv210208406L/abstract","2021arXiv210208406L")</f>
        <v>2021arXiv210208406L</v>
      </c>
      <c r="C888" s="1" t="s">
        <v>70</v>
      </c>
      <c r="E888" s="2" t="str">
        <f>HYPERLINK("https://ui.adsabs.harvard.edu/abs/2021arXiv210208406L/abstract","2021arXiv210208406L")</f>
        <v>2021arXiv210208406L</v>
      </c>
      <c r="G888" s="1" t="s">
        <v>72</v>
      </c>
      <c r="H888" s="1">
        <v>0.9960155</v>
      </c>
      <c r="I888" s="1" t="s">
        <v>1035</v>
      </c>
    </row>
    <row r="889">
      <c r="A889" s="2" t="str">
        <f>HYPERLINK("https://ui.adsabs.harvard.edu/abs/2022Quant...6..618V/abstract","2022Quant...6..618V")</f>
        <v>2022Quant...6..618V</v>
      </c>
      <c r="B889" s="2" t="str">
        <f>HYPERLINK("https://ui.adsabs.harvard.edu/abs/2021arXiv210404847V/abstract","2021arXiv210404847V")</f>
        <v>2021arXiv210404847V</v>
      </c>
      <c r="C889" s="1" t="s">
        <v>70</v>
      </c>
      <c r="E889" s="2" t="str">
        <f>HYPERLINK("https://ui.adsabs.harvard.edu/abs/2021arXiv210404847V/abstract","2021arXiv210404847V")</f>
        <v>2021arXiv210404847V</v>
      </c>
      <c r="G889" s="1" t="s">
        <v>72</v>
      </c>
      <c r="H889" s="1">
        <v>0.9960155</v>
      </c>
      <c r="I889" s="1" t="s">
        <v>1035</v>
      </c>
    </row>
    <row r="890">
      <c r="A890" s="2" t="str">
        <f>HYPERLINK("https://ui.adsabs.harvard.edu/abs/2022Quant...6..728S/abstract","2022Quant...6..728S")</f>
        <v>2022Quant...6..728S</v>
      </c>
      <c r="B890" s="2" t="str">
        <f>HYPERLINK("https://ui.adsabs.harvard.edu/abs/2021arXiv210609324S/abstract","2021arXiv210609324S")</f>
        <v>2021arXiv210609324S</v>
      </c>
      <c r="C890" s="1" t="s">
        <v>70</v>
      </c>
      <c r="E890" s="2" t="str">
        <f>HYPERLINK("https://ui.adsabs.harvard.edu/abs/2021arXiv210609324S/abstract","2021arXiv210609324S")</f>
        <v>2021arXiv210609324S</v>
      </c>
      <c r="G890" s="1" t="s">
        <v>72</v>
      </c>
      <c r="H890" s="1">
        <v>0.9960155</v>
      </c>
      <c r="I890" s="1" t="s">
        <v>1035</v>
      </c>
    </row>
    <row r="891">
      <c r="A891" s="2" t="str">
        <f>HYPERLINK("https://ui.adsabs.harvard.edu/abs/2019Quant...3..177W/abstract","2019Quant...3..177W")</f>
        <v>2019Quant...3..177W</v>
      </c>
      <c r="E891" s="2" t="str">
        <f>HYPERLINK("https://ui.adsabs.harvard.edu/abs/2015arXiv150602322W/abstract","2015arXiv150602322W")</f>
        <v>2015arXiv150602322W</v>
      </c>
      <c r="G891" s="1" t="s">
        <v>72</v>
      </c>
      <c r="H891" s="1">
        <v>0.9960346</v>
      </c>
      <c r="I891" s="1" t="s">
        <v>1036</v>
      </c>
    </row>
    <row r="892">
      <c r="A892" s="2" t="str">
        <f>HYPERLINK("https://ui.adsabs.harvard.edu/abs/2023PhRvA.107a2611T/abstract","2023PhRvA.107a2611T")</f>
        <v>2023PhRvA.107a2611T</v>
      </c>
      <c r="B892" s="2" t="str">
        <f>HYPERLINK("https://ui.adsabs.harvard.edu/abs/2022arXiv220906104T/abstract","2022arXiv220906104T")</f>
        <v>2022arXiv220906104T</v>
      </c>
      <c r="C892" s="1" t="s">
        <v>70</v>
      </c>
      <c r="E892" s="2" t="str">
        <f>HYPERLINK("https://ui.adsabs.harvard.edu/abs/2022arXiv220906104T/abstract","2022arXiv220906104T")</f>
        <v>2022arXiv220906104T</v>
      </c>
      <c r="G892" s="1" t="s">
        <v>72</v>
      </c>
      <c r="H892" s="1">
        <v>0.9960575</v>
      </c>
      <c r="I892" s="1" t="s">
        <v>1037</v>
      </c>
    </row>
    <row r="893">
      <c r="A893" s="2" t="str">
        <f>HYPERLINK("https://ui.adsabs.harvard.edu/abs/2023PhRvD.107b4024W/abstract","2023PhRvD.107b4024W")</f>
        <v>2023PhRvD.107b4024W</v>
      </c>
      <c r="B893" s="2" t="str">
        <f>HYPERLINK("https://ui.adsabs.harvard.edu/abs/2022arXiv221115151W/abstract","2022arXiv221115151W")</f>
        <v>2022arXiv221115151W</v>
      </c>
      <c r="C893" s="1" t="s">
        <v>70</v>
      </c>
      <c r="E893" s="2" t="str">
        <f>HYPERLINK("https://ui.adsabs.harvard.edu/abs/2022arXiv221115151W/abstract","2022arXiv221115151W")</f>
        <v>2022arXiv221115151W</v>
      </c>
      <c r="G893" s="1" t="s">
        <v>72</v>
      </c>
      <c r="H893" s="1">
        <v>0.9960575</v>
      </c>
      <c r="I893" s="1" t="s">
        <v>1037</v>
      </c>
    </row>
    <row r="894">
      <c r="A894" s="2" t="str">
        <f>HYPERLINK("https://ui.adsabs.harvard.edu/abs/2023PhRvE.107a4303D/abstract","2023PhRvE.107a4303D")</f>
        <v>2023PhRvE.107a4303D</v>
      </c>
      <c r="B894" s="2" t="str">
        <f>HYPERLINK("https://ui.adsabs.harvard.edu/abs/2022arXiv220812038D/abstract","2022arXiv220812038D")</f>
        <v>2022arXiv220812038D</v>
      </c>
      <c r="C894" s="1" t="s">
        <v>70</v>
      </c>
      <c r="E894" s="2" t="str">
        <f>HYPERLINK("https://ui.adsabs.harvard.edu/abs/2022arXiv220812038D/abstract","2022arXiv220812038D")</f>
        <v>2022arXiv220812038D</v>
      </c>
      <c r="G894" s="1" t="s">
        <v>72</v>
      </c>
      <c r="H894" s="1">
        <v>0.9960575</v>
      </c>
      <c r="I894" s="1" t="s">
        <v>1037</v>
      </c>
    </row>
    <row r="895">
      <c r="A895" s="2" t="str">
        <f>HYPERLINK("https://ui.adsabs.harvard.edu/abs/2022MiMic..28.1611O/abstract","2022MiMic..28.1611O")</f>
        <v>2022MiMic..28.1611O</v>
      </c>
      <c r="B895" s="2" t="str">
        <f>HYPERLINK("https://ui.adsabs.harvard.edu/abs/2021arXiv210914772O/abstract","2021arXiv210914772O")</f>
        <v>2021arXiv210914772O</v>
      </c>
      <c r="C895" s="1" t="s">
        <v>70</v>
      </c>
      <c r="E895" s="2" t="str">
        <f>HYPERLINK("https://ui.adsabs.harvard.edu/abs/2021arXiv210914772O/abstract","2021arXiv210914772O")</f>
        <v>2021arXiv210914772O</v>
      </c>
      <c r="G895" s="1" t="s">
        <v>72</v>
      </c>
      <c r="H895" s="1">
        <v>0.9960575</v>
      </c>
      <c r="I895" s="1" t="s">
        <v>1037</v>
      </c>
    </row>
    <row r="896">
      <c r="A896" s="2" t="str">
        <f>HYPERLINK("https://ui.adsabs.harvard.edu/abs/2020Quant...4..238O/abstract","2020Quant...4..238O")</f>
        <v>2020Quant...4..238O</v>
      </c>
      <c r="B896" s="2" t="str">
        <f>HYPERLINK("https://ui.adsabs.harvard.edu/abs/2019arXiv190811123O/abstract","2019arXiv190811123O")</f>
        <v>2019arXiv190811123O</v>
      </c>
      <c r="C896" s="1" t="s">
        <v>70</v>
      </c>
      <c r="E896" s="2" t="str">
        <f>HYPERLINK("https://ui.adsabs.harvard.edu/abs/2019arXiv190811123O/abstract","2019arXiv190811123O")</f>
        <v>2019arXiv190811123O</v>
      </c>
      <c r="G896" s="1" t="s">
        <v>72</v>
      </c>
      <c r="H896" s="1">
        <v>0.9960575</v>
      </c>
      <c r="I896" s="1" t="s">
        <v>1037</v>
      </c>
    </row>
    <row r="897">
      <c r="A897" s="2" t="str">
        <f>HYPERLINK("https://ui.adsabs.harvard.edu/abs/2020Quant...4..248C/abstract","2020Quant...4..248C")</f>
        <v>2020Quant...4..248C</v>
      </c>
      <c r="B897" s="2" t="str">
        <f>HYPERLINK("https://ui.adsabs.harvard.edu/abs/2019arXiv190609253C/abstract","2019arXiv190609253C")</f>
        <v>2019arXiv190609253C</v>
      </c>
      <c r="C897" s="1" t="s">
        <v>70</v>
      </c>
      <c r="E897" s="2" t="str">
        <f>HYPERLINK("https://ui.adsabs.harvard.edu/abs/2019arXiv190609253C/abstract","2019arXiv190609253C")</f>
        <v>2019arXiv190609253C</v>
      </c>
      <c r="G897" s="1" t="s">
        <v>72</v>
      </c>
      <c r="H897" s="1">
        <v>0.9960575</v>
      </c>
      <c r="I897" s="1" t="s">
        <v>1037</v>
      </c>
    </row>
    <row r="898">
      <c r="A898" s="2" t="str">
        <f>HYPERLINK("https://ui.adsabs.harvard.edu/abs/2020Quant...4..282C/abstract","2020Quant...4..282C")</f>
        <v>2020Quant...4..282C</v>
      </c>
      <c r="B898" s="2" t="str">
        <f>HYPERLINK("https://ui.adsabs.harvard.edu/abs/2019arXiv190402350C/abstract","2019arXiv190402350C")</f>
        <v>2019arXiv190402350C</v>
      </c>
      <c r="C898" s="1" t="s">
        <v>70</v>
      </c>
      <c r="E898" s="2" t="str">
        <f>HYPERLINK("https://ui.adsabs.harvard.edu/abs/2019arXiv190402350C/abstract","2019arXiv190402350C")</f>
        <v>2019arXiv190402350C</v>
      </c>
      <c r="G898" s="1" t="s">
        <v>72</v>
      </c>
      <c r="H898" s="1">
        <v>0.9960575</v>
      </c>
      <c r="I898" s="1" t="s">
        <v>1037</v>
      </c>
    </row>
    <row r="899">
      <c r="A899" s="2" t="str">
        <f>HYPERLINK("https://ui.adsabs.harvard.edu/abs/2020Quant...4..306S/abstract","2020Quant...4..306S")</f>
        <v>2020Quant...4..306S</v>
      </c>
      <c r="B899" s="2" t="str">
        <f>HYPERLINK("https://ui.adsabs.harvard.edu/abs/2020arXiv200211146S/abstract","2020arXiv200211146S")</f>
        <v>2020arXiv200211146S</v>
      </c>
      <c r="C899" s="1" t="s">
        <v>70</v>
      </c>
      <c r="E899" s="2" t="str">
        <f>HYPERLINK("https://ui.adsabs.harvard.edu/abs/2020arXiv200211146S/abstract","2020arXiv200211146S")</f>
        <v>2020arXiv200211146S</v>
      </c>
      <c r="G899" s="1" t="s">
        <v>72</v>
      </c>
      <c r="H899" s="1">
        <v>0.9960575</v>
      </c>
      <c r="I899" s="1" t="s">
        <v>1037</v>
      </c>
    </row>
    <row r="900">
      <c r="A900" s="2" t="str">
        <f>HYPERLINK("https://ui.adsabs.harvard.edu/abs/2020Quant...4..373V/abstract","2020Quant...4..373V")</f>
        <v>2020Quant...4..373V</v>
      </c>
      <c r="B900" s="2" t="str">
        <f>HYPERLINK("https://ui.adsabs.harvard.edu/abs/2020arXiv200913140V/abstract","2020arXiv200913140V")</f>
        <v>2020arXiv200913140V</v>
      </c>
      <c r="C900" s="1" t="s">
        <v>70</v>
      </c>
      <c r="E900" s="2" t="str">
        <f>HYPERLINK("https://ui.adsabs.harvard.edu/abs/2020arXiv200913140V/abstract","2020arXiv200913140V")</f>
        <v>2020arXiv200913140V</v>
      </c>
      <c r="G900" s="1" t="s">
        <v>72</v>
      </c>
      <c r="H900" s="1">
        <v>0.9960575</v>
      </c>
      <c r="I900" s="1" t="s">
        <v>1037</v>
      </c>
    </row>
    <row r="901">
      <c r="A901" s="2" t="str">
        <f>HYPERLINK("https://ui.adsabs.harvard.edu/abs/2021Quant...5..390M/abstract","2021Quant...5..390M")</f>
        <v>2021Quant...5..390M</v>
      </c>
      <c r="B901" s="2" t="str">
        <f>HYPERLINK("https://ui.adsabs.harvard.edu/abs/2020arXiv200311810M/abstract","2020arXiv200311810M")</f>
        <v>2020arXiv200311810M</v>
      </c>
      <c r="C901" s="1" t="s">
        <v>70</v>
      </c>
      <c r="E901" s="2" t="str">
        <f>HYPERLINK("https://ui.adsabs.harvard.edu/abs/2020arXiv200311810M/abstract","2020arXiv200311810M")</f>
        <v>2020arXiv200311810M</v>
      </c>
      <c r="G901" s="1" t="s">
        <v>72</v>
      </c>
      <c r="H901" s="1">
        <v>0.9960575</v>
      </c>
      <c r="I901" s="1" t="s">
        <v>1037</v>
      </c>
    </row>
    <row r="902">
      <c r="A902" s="2" t="str">
        <f>HYPERLINK("https://ui.adsabs.harvard.edu/abs/2021Quant...5..508G/abstract","2021Quant...5..508G")</f>
        <v>2021Quant...5..508G</v>
      </c>
      <c r="B902" s="2" t="str">
        <f>HYPERLINK("https://ui.adsabs.harvard.edu/abs/2021arXiv210111628G/abstract","2021arXiv210111628G")</f>
        <v>2021arXiv210111628G</v>
      </c>
      <c r="C902" s="1" t="s">
        <v>70</v>
      </c>
      <c r="E902" s="2" t="str">
        <f>HYPERLINK("https://ui.adsabs.harvard.edu/abs/2021arXiv210111628G/abstract","2021arXiv210111628G")</f>
        <v>2021arXiv210111628G</v>
      </c>
      <c r="G902" s="1" t="s">
        <v>72</v>
      </c>
      <c r="H902" s="1">
        <v>0.9960575</v>
      </c>
      <c r="I902" s="1" t="s">
        <v>1037</v>
      </c>
    </row>
    <row r="903">
      <c r="A903" s="2" t="str">
        <f>HYPERLINK("https://ui.adsabs.harvard.edu/abs/2021Quant...5..511L/abstract","2021Quant...5..511L")</f>
        <v>2021Quant...5..511L</v>
      </c>
      <c r="B903" s="2" t="str">
        <f>HYPERLINK("https://ui.adsabs.harvard.edu/abs/2020arXiv200107774L/abstract","2020arXiv200107774L")</f>
        <v>2020arXiv200107774L</v>
      </c>
      <c r="C903" s="1" t="s">
        <v>70</v>
      </c>
      <c r="E903" s="2" t="str">
        <f>HYPERLINK("https://ui.adsabs.harvard.edu/abs/2020arXiv200107774L/abstract","2020arXiv200107774L")</f>
        <v>2020arXiv200107774L</v>
      </c>
      <c r="G903" s="1" t="s">
        <v>72</v>
      </c>
      <c r="H903" s="1">
        <v>0.9960575</v>
      </c>
      <c r="I903" s="1" t="s">
        <v>1037</v>
      </c>
    </row>
    <row r="904">
      <c r="A904" s="2" t="str">
        <f>HYPERLINK("https://ui.adsabs.harvard.edu/abs/2021Quant...5..529Z/abstract","2021Quant...5..529Z")</f>
        <v>2021Quant...5..529Z</v>
      </c>
      <c r="B904" s="2" t="str">
        <f>HYPERLINK("https://ui.adsabs.harvard.edu/abs/2020arXiv200710253Z/abstract","2020arXiv200710253Z")</f>
        <v>2020arXiv200710253Z</v>
      </c>
      <c r="C904" s="1" t="s">
        <v>70</v>
      </c>
      <c r="E904" s="2" t="str">
        <f>HYPERLINK("https://ui.adsabs.harvard.edu/abs/2020arXiv200710253Z/abstract","2020arXiv200710253Z")</f>
        <v>2020arXiv200710253Z</v>
      </c>
      <c r="G904" s="1" t="s">
        <v>72</v>
      </c>
      <c r="H904" s="1">
        <v>0.9960575</v>
      </c>
      <c r="I904" s="1" t="s">
        <v>1037</v>
      </c>
    </row>
    <row r="905">
      <c r="A905" s="2" t="str">
        <f>HYPERLINK("https://ui.adsabs.harvard.edu/abs/2021Quant...5..567G/abstract","2021Quant...5..567G")</f>
        <v>2021Quant...5..567G</v>
      </c>
      <c r="B905" s="2" t="str">
        <f>HYPERLINK("https://ui.adsabs.harvard.edu/abs/2021arXiv210309232G/abstract","2021arXiv210309232G")</f>
        <v>2021arXiv210309232G</v>
      </c>
      <c r="C905" s="1" t="s">
        <v>70</v>
      </c>
      <c r="E905" s="2" t="str">
        <f>HYPERLINK("https://ui.adsabs.harvard.edu/abs/2021arXiv210309232G/abstract","2021arXiv210309232G")</f>
        <v>2021arXiv210309232G</v>
      </c>
      <c r="G905" s="1" t="s">
        <v>72</v>
      </c>
      <c r="H905" s="1">
        <v>0.9960575</v>
      </c>
      <c r="I905" s="1" t="s">
        <v>1037</v>
      </c>
    </row>
    <row r="906">
      <c r="A906" s="2" t="str">
        <f>HYPERLINK("https://ui.adsabs.harvard.edu/abs/2022Quant...6..615M/abstract","2022Quant...6..615M")</f>
        <v>2022Quant...6..615M</v>
      </c>
      <c r="B906" s="2" t="str">
        <f>HYPERLINK("https://ui.adsabs.harvard.edu/abs/2021arXiv210500015M/abstract","2021arXiv210500015M")</f>
        <v>2021arXiv210500015M</v>
      </c>
      <c r="C906" s="1" t="s">
        <v>70</v>
      </c>
      <c r="E906" s="2" t="str">
        <f>HYPERLINK("https://ui.adsabs.harvard.edu/abs/2021arXiv210500015M/abstract","2021arXiv210500015M")</f>
        <v>2021arXiv210500015M</v>
      </c>
      <c r="G906" s="1" t="s">
        <v>72</v>
      </c>
      <c r="H906" s="1">
        <v>0.9960575</v>
      </c>
      <c r="I906" s="1" t="s">
        <v>1037</v>
      </c>
    </row>
    <row r="907">
      <c r="A907" s="2" t="str">
        <f>HYPERLINK("https://ui.adsabs.harvard.edu/abs/2022Quant...6..616M/abstract","2022Quant...6..616M")</f>
        <v>2022Quant...6..616M</v>
      </c>
      <c r="B907" s="2" t="str">
        <f>HYPERLINK("https://ui.adsabs.harvard.edu/abs/2021arXiv210500023M/abstract","2021arXiv210500023M")</f>
        <v>2021arXiv210500023M</v>
      </c>
      <c r="C907" s="1" t="s">
        <v>70</v>
      </c>
      <c r="E907" s="2" t="str">
        <f>HYPERLINK("https://ui.adsabs.harvard.edu/abs/2021arXiv210500023M/abstract","2021arXiv210500023M")</f>
        <v>2021arXiv210500023M</v>
      </c>
      <c r="G907" s="1" t="s">
        <v>72</v>
      </c>
      <c r="H907" s="1">
        <v>0.9960575</v>
      </c>
      <c r="I907" s="1" t="s">
        <v>1037</v>
      </c>
    </row>
    <row r="908">
      <c r="A908" s="2" t="str">
        <f>HYPERLINK("https://ui.adsabs.harvard.edu/abs/2022Quant...6..784P/abstract","2022Quant...6..784P")</f>
        <v>2022Quant...6..784P</v>
      </c>
      <c r="B908" s="2" t="str">
        <f>HYPERLINK("https://ui.adsabs.harvard.edu/abs/2021arXiv210908170P/abstract","2021arXiv210908170P")</f>
        <v>2021arXiv210908170P</v>
      </c>
      <c r="C908" s="1" t="s">
        <v>70</v>
      </c>
      <c r="E908" s="2" t="str">
        <f>HYPERLINK("https://ui.adsabs.harvard.edu/abs/2021arXiv210908170P/abstract","2021arXiv210908170P")</f>
        <v>2021arXiv210908170P</v>
      </c>
      <c r="G908" s="1" t="s">
        <v>72</v>
      </c>
      <c r="H908" s="1">
        <v>0.9960575</v>
      </c>
      <c r="I908" s="1" t="s">
        <v>1037</v>
      </c>
    </row>
    <row r="909">
      <c r="A909" s="2" t="str">
        <f>HYPERLINK("https://ui.adsabs.harvard.edu/abs/2023Symm...15..259G/abstract","2023Symm...15..259G")</f>
        <v>2023Symm...15..259G</v>
      </c>
      <c r="E909" s="2" t="str">
        <f>HYPERLINK("https://ui.adsabs.harvard.edu/abs/2023arXiv230109795G/abstract","2023arXiv230109795G")</f>
        <v>2023arXiv230109795G</v>
      </c>
      <c r="G909" s="1" t="s">
        <v>72</v>
      </c>
      <c r="H909" s="1">
        <v>0.9960575</v>
      </c>
      <c r="I909" s="1" t="s">
        <v>1037</v>
      </c>
    </row>
    <row r="910">
      <c r="A910" s="2" t="str">
        <f>HYPERLINK("https://ui.adsabs.harvard.edu/abs/2019Quant...3..193L/abstract","2019Quant...3..193L")</f>
        <v>2019Quant...3..193L</v>
      </c>
      <c r="E910" s="2" t="str">
        <f>HYPERLINK("https://ui.adsabs.harvard.edu/abs/2017arXiv171210242L/abstract","2017arXiv171210242L")</f>
        <v>2017arXiv171210242L</v>
      </c>
      <c r="G910" s="1" t="s">
        <v>72</v>
      </c>
      <c r="H910" s="1">
        <v>0.9960841</v>
      </c>
      <c r="I910" s="1" t="s">
        <v>1038</v>
      </c>
    </row>
    <row r="911">
      <c r="A911" s="2" t="str">
        <f>HYPERLINK("https://ui.adsabs.harvard.edu/abs/2023EPJC...83...17P/abstract","2023EPJC...83...17P")</f>
        <v>2023EPJC...83...17P</v>
      </c>
      <c r="B911" s="2" t="str">
        <f>HYPERLINK("https://ui.adsabs.harvard.edu/abs/2022arXiv220210165P/abstract","2022arXiv220210165P")</f>
        <v>2022arXiv220210165P</v>
      </c>
      <c r="C911" s="1" t="s">
        <v>70</v>
      </c>
      <c r="E911" s="2" t="str">
        <f>HYPERLINK("https://ui.adsabs.harvard.edu/abs/2022arXiv220210165P/abstract","2022arXiv220210165P")</f>
        <v>2022arXiv220210165P</v>
      </c>
      <c r="G911" s="1" t="s">
        <v>72</v>
      </c>
      <c r="H911" s="1">
        <v>0.9960991</v>
      </c>
      <c r="I911" s="1" t="s">
        <v>1039</v>
      </c>
    </row>
    <row r="912">
      <c r="A912" s="2" t="str">
        <f>HYPERLINK("https://ui.adsabs.harvard.edu/abs/2023EPJC...83...33B/abstract","2023EPJC...83...33B")</f>
        <v>2023EPJC...83...33B</v>
      </c>
      <c r="B912" s="2" t="str">
        <f>HYPERLINK("https://ui.adsabs.harvard.edu/abs/2022arXiv220209350B/abstract","2022arXiv220209350B")</f>
        <v>2022arXiv220209350B</v>
      </c>
      <c r="C912" s="1" t="s">
        <v>70</v>
      </c>
      <c r="E912" s="2" t="str">
        <f>HYPERLINK("https://ui.adsabs.harvard.edu/abs/2022arXiv220209350B/abstract","2022arXiv220209350B")</f>
        <v>2022arXiv220209350B</v>
      </c>
      <c r="G912" s="1" t="s">
        <v>72</v>
      </c>
      <c r="H912" s="1">
        <v>0.9960991</v>
      </c>
      <c r="I912" s="1" t="s">
        <v>1039</v>
      </c>
    </row>
    <row r="913">
      <c r="A913" s="2" t="str">
        <f>HYPERLINK("https://ui.adsabs.harvard.edu/abs/2023LMaPh.113....7B/abstract","2023LMaPh.113....7B")</f>
        <v>2023LMaPh.113....7B</v>
      </c>
      <c r="B913" s="2" t="str">
        <f>HYPERLINK("https://ui.adsabs.harvard.edu/abs/2022arXiv220316511B/abstract","2022arXiv220316511B")</f>
        <v>2022arXiv220316511B</v>
      </c>
      <c r="C913" s="1" t="s">
        <v>70</v>
      </c>
      <c r="E913" s="2" t="str">
        <f>HYPERLINK("https://ui.adsabs.harvard.edu/abs/2022arXiv220316511B/abstract","2022arXiv220316511B")</f>
        <v>2022arXiv220316511B</v>
      </c>
      <c r="G913" s="1" t="s">
        <v>72</v>
      </c>
      <c r="H913" s="1">
        <v>0.9960991</v>
      </c>
      <c r="I913" s="1" t="s">
        <v>1039</v>
      </c>
    </row>
    <row r="914">
      <c r="A914" s="2" t="str">
        <f>HYPERLINK("https://ui.adsabs.harvard.edu/abs/2023AnRFM..55..351M/abstract","2023AnRFM..55..351M")</f>
        <v>2023AnRFM..55..351M</v>
      </c>
      <c r="B914" s="2" t="str">
        <f>HYPERLINK("https://ui.adsabs.harvard.edu/abs/2022arXiv220505513M/abstract","2022arXiv220505513M")</f>
        <v>2022arXiv220505513M</v>
      </c>
      <c r="C914" s="1" t="s">
        <v>70</v>
      </c>
      <c r="E914" s="2" t="str">
        <f>HYPERLINK("https://ui.adsabs.harvard.edu/abs/2022arXiv220505513M/abstract","2022arXiv220505513M")</f>
        <v>2022arXiv220505513M</v>
      </c>
      <c r="G914" s="1" t="s">
        <v>72</v>
      </c>
      <c r="H914" s="1">
        <v>0.9960991</v>
      </c>
      <c r="I914" s="1" t="s">
        <v>1039</v>
      </c>
    </row>
    <row r="915">
      <c r="A915" s="2" t="str">
        <f>HYPERLINK("https://ui.adsabs.harvard.edu/abs/2023JChPh.158c4501M/abstract","2023JChPh.158c4501M")</f>
        <v>2023JChPh.158c4501M</v>
      </c>
      <c r="B915" s="2" t="str">
        <f>HYPERLINK("https://ui.adsabs.harvard.edu/abs/2022arXiv221212278M/abstract","2022arXiv221212278M")</f>
        <v>2022arXiv221212278M</v>
      </c>
      <c r="C915" s="1" t="s">
        <v>70</v>
      </c>
      <c r="E915" s="2" t="str">
        <f>HYPERLINK("https://ui.adsabs.harvard.edu/abs/2022arXiv221212278M/abstract","2022arXiv221212278M")</f>
        <v>2022arXiv221212278M</v>
      </c>
      <c r="G915" s="1" t="s">
        <v>72</v>
      </c>
      <c r="H915" s="1">
        <v>0.9960991</v>
      </c>
      <c r="I915" s="1" t="s">
        <v>1039</v>
      </c>
    </row>
    <row r="916">
      <c r="A916" s="2" t="str">
        <f>HYPERLINK("https://ui.adsabs.harvard.edu/abs/2023ApPhL.122c4001H/abstract","2023ApPhL.122c4001H")</f>
        <v>2023ApPhL.122c4001H</v>
      </c>
      <c r="B916" s="2" t="str">
        <f>HYPERLINK("https://ui.adsabs.harvard.edu/abs/2022arXiv221210918H/abstract","2022arXiv221210918H")</f>
        <v>2022arXiv221210918H</v>
      </c>
      <c r="C916" s="1" t="s">
        <v>70</v>
      </c>
      <c r="E916" s="2" t="str">
        <f>HYPERLINK("https://ui.adsabs.harvard.edu/abs/2022arXiv221210918H/abstract","2022arXiv221210918H")</f>
        <v>2022arXiv221210918H</v>
      </c>
      <c r="G916" s="1" t="s">
        <v>72</v>
      </c>
      <c r="H916" s="1">
        <v>0.9960991</v>
      </c>
      <c r="I916" s="1" t="s">
        <v>1039</v>
      </c>
    </row>
    <row r="917">
      <c r="A917" s="2" t="str">
        <f>HYPERLINK("https://ui.adsabs.harvard.edu/abs/2023AVSQS...5a1401V/abstract","2023AVSQS...5a1401V")</f>
        <v>2023AVSQS...5a1401V</v>
      </c>
      <c r="B917" s="2" t="str">
        <f>HYPERLINK("https://ui.adsabs.harvard.edu/abs/2022arXiv220908384V/abstract","2022arXiv220908384V")</f>
        <v>2022arXiv220908384V</v>
      </c>
      <c r="C917" s="1" t="s">
        <v>70</v>
      </c>
      <c r="E917" s="2" t="str">
        <f>HYPERLINK("https://ui.adsabs.harvard.edu/abs/2022arXiv220908384V/abstract","2022arXiv220908384V")</f>
        <v>2022arXiv220908384V</v>
      </c>
      <c r="G917" s="1" t="s">
        <v>72</v>
      </c>
      <c r="H917" s="1">
        <v>0.9960991</v>
      </c>
      <c r="I917" s="1" t="s">
        <v>1039</v>
      </c>
    </row>
    <row r="918">
      <c r="A918" s="2" t="str">
        <f>HYPERLINK("https://ui.adsabs.harvard.edu/abs/2023PhLB..83837674K/abstract","2023PhLB..83837674K")</f>
        <v>2023PhLB..83837674K</v>
      </c>
      <c r="B918" s="2" t="str">
        <f>HYPERLINK("https://ui.adsabs.harvard.edu/abs/2022arXiv221008373K/abstract","2022arXiv221008373K")</f>
        <v>2022arXiv221008373K</v>
      </c>
      <c r="C918" s="1" t="s">
        <v>70</v>
      </c>
      <c r="E918" s="2" t="str">
        <f>HYPERLINK("https://ui.adsabs.harvard.edu/abs/2022arXiv221008373K/abstract","2022arXiv221008373K")</f>
        <v>2022arXiv221008373K</v>
      </c>
      <c r="G918" s="1" t="s">
        <v>72</v>
      </c>
      <c r="H918" s="1">
        <v>0.9960991</v>
      </c>
      <c r="I918" s="1" t="s">
        <v>1039</v>
      </c>
    </row>
    <row r="919">
      <c r="A919" s="2" t="str">
        <f>HYPERLINK("https://ui.adsabs.harvard.edu/abs/2023PhRvA.107a3306L/abstract","2023PhRvA.107a3306L")</f>
        <v>2023PhRvA.107a3306L</v>
      </c>
      <c r="B919" s="2" t="str">
        <f>HYPERLINK("https://ui.adsabs.harvard.edu/abs/2022arXiv221100424L/abstract","2022arXiv221100424L")</f>
        <v>2022arXiv221100424L</v>
      </c>
      <c r="C919" s="1" t="s">
        <v>70</v>
      </c>
      <c r="E919" s="2" t="str">
        <f>HYPERLINK("https://ui.adsabs.harvard.edu/abs/2022arXiv221100424L/abstract","2022arXiv221100424L")</f>
        <v>2022arXiv221100424L</v>
      </c>
      <c r="G919" s="1" t="s">
        <v>72</v>
      </c>
      <c r="H919" s="1">
        <v>0.9960991</v>
      </c>
      <c r="I919" s="1" t="s">
        <v>1039</v>
      </c>
    </row>
    <row r="920">
      <c r="A920" s="2" t="str">
        <f>HYPERLINK("https://ui.adsabs.harvard.edu/abs/2023PhRvB.107b4306B/abstract","2023PhRvB.107b4306B")</f>
        <v>2023PhRvB.107b4306B</v>
      </c>
      <c r="B920" s="2" t="str">
        <f>HYPERLINK("https://ui.adsabs.harvard.edu/abs/2022arXiv220908992B/abstract","2022arXiv220908992B")</f>
        <v>2022arXiv220908992B</v>
      </c>
      <c r="C920" s="1" t="s">
        <v>70</v>
      </c>
      <c r="E920" s="2" t="str">
        <f>HYPERLINK("https://ui.adsabs.harvard.edu/abs/2022arXiv220908992B/abstract","2022arXiv220908992B")</f>
        <v>2022arXiv220908992B</v>
      </c>
      <c r="G920" s="1" t="s">
        <v>72</v>
      </c>
      <c r="H920" s="1">
        <v>0.9960991</v>
      </c>
      <c r="I920" s="1" t="s">
        <v>1039</v>
      </c>
    </row>
    <row r="921">
      <c r="A921" s="2" t="str">
        <f>HYPERLINK("https://ui.adsabs.harvard.edu/abs/2023PhRvB.107c5136S/abstract","2023PhRvB.107c5136S")</f>
        <v>2023PhRvB.107c5136S</v>
      </c>
      <c r="B921" s="2" t="str">
        <f>HYPERLINK("https://ui.adsabs.harvard.edu/abs/2022arXiv220612791S/abstract","2022arXiv220612791S")</f>
        <v>2022arXiv220612791S</v>
      </c>
      <c r="C921" s="1" t="s">
        <v>70</v>
      </c>
      <c r="E921" s="2" t="str">
        <f>HYPERLINK("https://ui.adsabs.harvard.edu/abs/2022arXiv220612791S/abstract","2022arXiv220612791S")</f>
        <v>2022arXiv220612791S</v>
      </c>
      <c r="G921" s="1" t="s">
        <v>72</v>
      </c>
      <c r="H921" s="1">
        <v>0.9960991</v>
      </c>
      <c r="I921" s="1" t="s">
        <v>1039</v>
      </c>
    </row>
    <row r="922">
      <c r="A922" s="2" t="str">
        <f>HYPERLINK("https://ui.adsabs.harvard.edu/abs/2023PhRvB.107d5121D/abstract","2023PhRvB.107d5121D")</f>
        <v>2023PhRvB.107d5121D</v>
      </c>
      <c r="B922" s="2" t="str">
        <f>HYPERLINK("https://ui.adsabs.harvard.edu/abs/2022arXiv220809524D/abstract","2022arXiv220809524D")</f>
        <v>2022arXiv220809524D</v>
      </c>
      <c r="C922" s="1" t="s">
        <v>70</v>
      </c>
      <c r="E922" s="2" t="str">
        <f>HYPERLINK("https://ui.adsabs.harvard.edu/abs/2022arXiv220809524D/abstract","2022arXiv220809524D")</f>
        <v>2022arXiv220809524D</v>
      </c>
      <c r="G922" s="1" t="s">
        <v>72</v>
      </c>
      <c r="H922" s="1">
        <v>0.9960991</v>
      </c>
      <c r="I922" s="1" t="s">
        <v>1039</v>
      </c>
    </row>
    <row r="923">
      <c r="A923" s="2" t="str">
        <f>HYPERLINK("https://ui.adsabs.harvard.edu/abs/2023PhRvB.107b0101K/abstract","2023PhRvB.107b0101K")</f>
        <v>2023PhRvB.107b0101K</v>
      </c>
      <c r="B923" s="2" t="str">
        <f>HYPERLINK("https://ui.adsabs.harvard.edu/abs/2023arXiv230103833K/abstract","2023arXiv230103833K")</f>
        <v>2023arXiv230103833K</v>
      </c>
      <c r="C923" s="1" t="s">
        <v>70</v>
      </c>
      <c r="E923" s="2" t="str">
        <f>HYPERLINK("https://ui.adsabs.harvard.edu/abs/2023arXiv230103833K/abstract","2023arXiv230103833K")</f>
        <v>2023arXiv230103833K</v>
      </c>
      <c r="G923" s="1" t="s">
        <v>72</v>
      </c>
      <c r="H923" s="1">
        <v>0.9960991</v>
      </c>
      <c r="I923" s="1" t="s">
        <v>1039</v>
      </c>
    </row>
    <row r="924">
      <c r="A924" s="2" t="str">
        <f>HYPERLINK("https://ui.adsabs.harvard.edu/abs/2023PhRvE.107a4129P/abstract","2023PhRvE.107a4129P")</f>
        <v>2023PhRvE.107a4129P</v>
      </c>
      <c r="B924" s="2" t="str">
        <f>HYPERLINK("https://ui.adsabs.harvard.edu/abs/2022arXiv220712091P/abstract","2022arXiv220712091P")</f>
        <v>2022arXiv220712091P</v>
      </c>
      <c r="C924" s="1" t="s">
        <v>70</v>
      </c>
      <c r="E924" s="2" t="str">
        <f>HYPERLINK("https://ui.adsabs.harvard.edu/abs/2022arXiv220712091P/abstract","2022arXiv220712091P")</f>
        <v>2022arXiv220712091P</v>
      </c>
      <c r="G924" s="1" t="s">
        <v>72</v>
      </c>
      <c r="H924" s="1">
        <v>0.9960991</v>
      </c>
      <c r="I924" s="1" t="s">
        <v>1039</v>
      </c>
    </row>
    <row r="925">
      <c r="A925" s="2" t="str">
        <f>HYPERLINK("https://ui.adsabs.harvard.edu/abs/2017Quant...1...10A/abstract","2017Quant...1...10A")</f>
        <v>2017Quant...1...10A</v>
      </c>
      <c r="B925" s="2" t="str">
        <f>HYPERLINK("https://ui.adsabs.harvard.edu/abs/2016arXiv161108535A/abstract","2016arXiv161108535A")</f>
        <v>2016arXiv161108535A</v>
      </c>
      <c r="C925" s="1" t="s">
        <v>70</v>
      </c>
      <c r="E925" s="2" t="str">
        <f>HYPERLINK("https://ui.adsabs.harvard.edu/abs/2016arXiv161108535A/abstract","2016arXiv161108535A")</f>
        <v>2016arXiv161108535A</v>
      </c>
      <c r="G925" s="1" t="s">
        <v>72</v>
      </c>
      <c r="H925" s="1">
        <v>0.9960991</v>
      </c>
      <c r="I925" s="1" t="s">
        <v>1039</v>
      </c>
    </row>
    <row r="926">
      <c r="A926" s="2" t="str">
        <f>HYPERLINK("https://ui.adsabs.harvard.edu/abs/2017Quant...1...16G/abstract","2017Quant...1...16G")</f>
        <v>2017Quant...1...16G</v>
      </c>
      <c r="B926" s="2" t="str">
        <f>HYPERLINK("https://ui.adsabs.harvard.edu/abs/2016arXiv161003582G/abstract","2016arXiv161003582G")</f>
        <v>2016arXiv161003582G</v>
      </c>
      <c r="C926" s="1" t="s">
        <v>70</v>
      </c>
      <c r="E926" s="2" t="str">
        <f>HYPERLINK("https://ui.adsabs.harvard.edu/abs/2016arXiv161003582G/abstract","2016arXiv161003582G")</f>
        <v>2016arXiv161003582G</v>
      </c>
      <c r="G926" s="1" t="s">
        <v>72</v>
      </c>
      <c r="H926" s="1">
        <v>0.9960991</v>
      </c>
      <c r="I926" s="1" t="s">
        <v>1039</v>
      </c>
    </row>
    <row r="927">
      <c r="A927" s="2" t="str">
        <f>HYPERLINK("https://ui.adsabs.harvard.edu/abs/2018Quant...2...46S/abstract","2018Quant...2...46S")</f>
        <v>2018Quant...2...46S</v>
      </c>
      <c r="B927" s="2" t="str">
        <f>HYPERLINK("https://ui.adsabs.harvard.edu/abs/2017arXiv171006207S/abstract","2017arXiv171006207S")</f>
        <v>2017arXiv171006207S</v>
      </c>
      <c r="C927" s="1" t="s">
        <v>70</v>
      </c>
      <c r="E927" s="2" t="str">
        <f>HYPERLINK("https://ui.adsabs.harvard.edu/abs/2017arXiv171006207S/abstract","2017arXiv171006207S")</f>
        <v>2017arXiv171006207S</v>
      </c>
      <c r="G927" s="1" t="s">
        <v>72</v>
      </c>
      <c r="H927" s="1">
        <v>0.9960991</v>
      </c>
      <c r="I927" s="1" t="s">
        <v>1039</v>
      </c>
    </row>
    <row r="928">
      <c r="A928" s="2" t="str">
        <f>HYPERLINK("https://ui.adsabs.harvard.edu/abs/2018Quant...2...53C/abstract","2018Quant...2...53C")</f>
        <v>2018Quant...2...53C</v>
      </c>
      <c r="B928" s="2" t="str">
        <f>HYPERLINK("https://ui.adsabs.harvard.edu/abs/2017arXiv170802246C/abstract","2017arXiv170802246C")</f>
        <v>2017arXiv170802246C</v>
      </c>
      <c r="C928" s="1" t="s">
        <v>70</v>
      </c>
      <c r="E928" s="2" t="str">
        <f>HYPERLINK("https://ui.adsabs.harvard.edu/abs/2017arXiv170802246C/abstract","2017arXiv170802246C")</f>
        <v>2017arXiv170802246C</v>
      </c>
      <c r="G928" s="1" t="s">
        <v>72</v>
      </c>
      <c r="H928" s="1">
        <v>0.9960991</v>
      </c>
      <c r="I928" s="1" t="s">
        <v>1039</v>
      </c>
    </row>
    <row r="929">
      <c r="A929" s="2" t="str">
        <f>HYPERLINK("https://ui.adsabs.harvard.edu/abs/2018Quant...2...88K/abstract","2018Quant...2...88K")</f>
        <v>2018Quant...2...88K</v>
      </c>
      <c r="B929" s="2" t="str">
        <f>HYPERLINK("https://ui.adsabs.harvard.edu/abs/2018arXiv180601275K/abstract","2018arXiv180601275K")</f>
        <v>2018arXiv180601275K</v>
      </c>
      <c r="C929" s="1" t="s">
        <v>70</v>
      </c>
      <c r="E929" s="2" t="str">
        <f>HYPERLINK("https://ui.adsabs.harvard.edu/abs/2018arXiv180601275K/abstract","2018arXiv180601275K")</f>
        <v>2018arXiv180601275K</v>
      </c>
      <c r="G929" s="1" t="s">
        <v>72</v>
      </c>
      <c r="H929" s="1">
        <v>0.9960991</v>
      </c>
      <c r="I929" s="1" t="s">
        <v>1039</v>
      </c>
    </row>
    <row r="930">
      <c r="A930" s="2" t="str">
        <f>HYPERLINK("https://ui.adsabs.harvard.edu/abs/2018Quant...2...95C/abstract","2018Quant...2...95C")</f>
        <v>2018Quant...2...95C</v>
      </c>
      <c r="B930" s="2" t="str">
        <f>HYPERLINK("https://ui.adsabs.harvard.edu/abs/2018arXiv180404520C/abstract","2018arXiv180404520C")</f>
        <v>2018arXiv180404520C</v>
      </c>
      <c r="C930" s="1" t="s">
        <v>70</v>
      </c>
      <c r="E930" s="2" t="str">
        <f>HYPERLINK("https://ui.adsabs.harvard.edu/abs/2018arXiv180404520C/abstract","2018arXiv180404520C")</f>
        <v>2018arXiv180404520C</v>
      </c>
      <c r="G930" s="1" t="s">
        <v>72</v>
      </c>
      <c r="H930" s="1">
        <v>0.9960991</v>
      </c>
      <c r="I930" s="1" t="s">
        <v>1039</v>
      </c>
    </row>
    <row r="931">
      <c r="A931" s="2" t="str">
        <f>HYPERLINK("https://ui.adsabs.harvard.edu/abs/2018Quant...2..113S/abstract","2018Quant...2..113S")</f>
        <v>2018Quant...2..113S</v>
      </c>
      <c r="B931" s="2" t="str">
        <f>HYPERLINK("https://ui.adsabs.harvard.edu/abs/2018arXiv180407562S/abstract","2018arXiv180407562S")</f>
        <v>2018arXiv180407562S</v>
      </c>
      <c r="C931" s="1" t="s">
        <v>70</v>
      </c>
      <c r="E931" s="2" t="str">
        <f>HYPERLINK("https://ui.adsabs.harvard.edu/abs/2018arXiv180407562S/abstract","2018arXiv180407562S")</f>
        <v>2018arXiv180407562S</v>
      </c>
      <c r="G931" s="1" t="s">
        <v>72</v>
      </c>
      <c r="H931" s="1">
        <v>0.9960991</v>
      </c>
      <c r="I931" s="1" t="s">
        <v>1039</v>
      </c>
    </row>
    <row r="932">
      <c r="A932" s="2" t="str">
        <f>HYPERLINK("https://ui.adsabs.harvard.edu/abs/2019Quant...3..122K/abstract","2019Quant...3..122K")</f>
        <v>2019Quant...3..122K</v>
      </c>
      <c r="B932" s="2" t="str">
        <f>HYPERLINK("https://ui.adsabs.harvard.edu/abs/2018arXiv180400055K/abstract","2018arXiv180400055K")</f>
        <v>2018arXiv180400055K</v>
      </c>
      <c r="C932" s="1" t="s">
        <v>70</v>
      </c>
      <c r="E932" s="2" t="str">
        <f>HYPERLINK("https://ui.adsabs.harvard.edu/abs/2018arXiv180400055K/abstract","2018arXiv180400055K")</f>
        <v>2018arXiv180400055K</v>
      </c>
      <c r="G932" s="1" t="s">
        <v>72</v>
      </c>
      <c r="H932" s="1">
        <v>0.9960991</v>
      </c>
      <c r="I932" s="1" t="s">
        <v>1039</v>
      </c>
    </row>
    <row r="933">
      <c r="A933" s="2" t="str">
        <f>HYPERLINK("https://ui.adsabs.harvard.edu/abs/2019Quant...3..126Q/abstract","2019Quant...3..126Q")</f>
        <v>2019Quant...3..126Q</v>
      </c>
      <c r="B933" s="2" t="str">
        <f>HYPERLINK("https://ui.adsabs.harvard.edu/abs/2018arXiv180808984Q/abstract","2018arXiv180808984Q")</f>
        <v>2018arXiv180808984Q</v>
      </c>
      <c r="C933" s="1" t="s">
        <v>70</v>
      </c>
      <c r="E933" s="2" t="str">
        <f>HYPERLINK("https://ui.adsabs.harvard.edu/abs/2018arXiv180808984Q/abstract","2018arXiv180808984Q")</f>
        <v>2018arXiv180808984Q</v>
      </c>
      <c r="G933" s="1" t="s">
        <v>72</v>
      </c>
      <c r="H933" s="1">
        <v>0.9960991</v>
      </c>
      <c r="I933" s="1" t="s">
        <v>1039</v>
      </c>
    </row>
    <row r="934">
      <c r="A934" s="2" t="str">
        <f>HYPERLINK("https://ui.adsabs.harvard.edu/abs/2019Quant...3..143C/abstract","2019Quant...3..143C")</f>
        <v>2019Quant...3..143C</v>
      </c>
      <c r="B934" s="2" t="str">
        <f>HYPERLINK("https://ui.adsabs.harvard.edu/abs/2018arXiv181100566C/abstract","2018arXiv181100566C")</f>
        <v>2018arXiv181100566C</v>
      </c>
      <c r="C934" s="1" t="s">
        <v>70</v>
      </c>
      <c r="E934" s="2" t="str">
        <f>HYPERLINK("https://ui.adsabs.harvard.edu/abs/2018arXiv181100566C/abstract","2018arXiv181100566C")</f>
        <v>2018arXiv181100566C</v>
      </c>
      <c r="G934" s="1" t="s">
        <v>72</v>
      </c>
      <c r="H934" s="1">
        <v>0.9960991</v>
      </c>
      <c r="I934" s="1" t="s">
        <v>1039</v>
      </c>
    </row>
    <row r="935">
      <c r="A935" s="2" t="str">
        <f>HYPERLINK("https://ui.adsabs.harvard.edu/abs/2019Quant...3..144D/abstract","2019Quant...3..144D")</f>
        <v>2019Quant...3..144D</v>
      </c>
      <c r="B935" s="2" t="str">
        <f>HYPERLINK("https://ui.adsabs.harvard.edu/abs/2018arXiv181211437D/abstract","2018arXiv181211437D")</f>
        <v>2018arXiv181211437D</v>
      </c>
      <c r="C935" s="1" t="s">
        <v>70</v>
      </c>
      <c r="E935" s="2" t="str">
        <f>HYPERLINK("https://ui.adsabs.harvard.edu/abs/2018arXiv181211437D/abstract","2018arXiv181211437D")</f>
        <v>2018arXiv181211437D</v>
      </c>
      <c r="G935" s="1" t="s">
        <v>72</v>
      </c>
      <c r="H935" s="1">
        <v>0.9960991</v>
      </c>
      <c r="I935" s="1" t="s">
        <v>1039</v>
      </c>
    </row>
    <row r="936">
      <c r="A936" s="2" t="str">
        <f>HYPERLINK("https://ui.adsabs.harvard.edu/abs/2019Quant...3..174C/abstract","2019Quant...3..174C")</f>
        <v>2019Quant...3..174C</v>
      </c>
      <c r="B936" s="2" t="str">
        <f>HYPERLINK("https://ui.adsabs.harvard.edu/abs/2018arXiv181005092C/abstract","2018arXiv181005092C")</f>
        <v>2018arXiv181005092C</v>
      </c>
      <c r="C936" s="1" t="s">
        <v>70</v>
      </c>
      <c r="E936" s="2" t="str">
        <f>HYPERLINK("https://ui.adsabs.harvard.edu/abs/2018arXiv181005092C/abstract","2018arXiv181005092C")</f>
        <v>2018arXiv181005092C</v>
      </c>
      <c r="G936" s="1" t="s">
        <v>72</v>
      </c>
      <c r="H936" s="1">
        <v>0.9960991</v>
      </c>
      <c r="I936" s="1" t="s">
        <v>1039</v>
      </c>
    </row>
    <row r="937">
      <c r="A937" s="2" t="str">
        <f>HYPERLINK("https://ui.adsabs.harvard.edu/abs/2019Quant...3..181B/abstract","2019Quant...3..181B")</f>
        <v>2019Quant...3..181B</v>
      </c>
      <c r="B937" s="2" t="str">
        <f>HYPERLINK("https://ui.adsabs.harvard.edu/abs/2018arXiv180800128B/abstract","2018arXiv180800128B")</f>
        <v>2018arXiv180800128B</v>
      </c>
      <c r="C937" s="1" t="s">
        <v>70</v>
      </c>
      <c r="E937" s="2" t="str">
        <f>HYPERLINK("https://ui.adsabs.harvard.edu/abs/2018arXiv180800128B/abstract","2018arXiv180800128B")</f>
        <v>2018arXiv180800128B</v>
      </c>
      <c r="G937" s="1" t="s">
        <v>72</v>
      </c>
      <c r="H937" s="1">
        <v>0.9960991</v>
      </c>
      <c r="I937" s="1" t="s">
        <v>1039</v>
      </c>
    </row>
    <row r="938">
      <c r="A938" s="2" t="str">
        <f>HYPERLINK("https://ui.adsabs.harvard.edu/abs/2019Quant...3..187D/abstract","2019Quant...3..187D")</f>
        <v>2019Quant...3..187D</v>
      </c>
      <c r="B938" s="2" t="str">
        <f>HYPERLINK("https://ui.adsabs.harvard.edu/abs/2019arXiv190310241D/abstract","2019arXiv190310241D")</f>
        <v>2019arXiv190310241D</v>
      </c>
      <c r="C938" s="1" t="s">
        <v>70</v>
      </c>
      <c r="E938" s="2" t="str">
        <f>HYPERLINK("https://ui.adsabs.harvard.edu/abs/2019arXiv190310241D/abstract","2019arXiv190310241D")</f>
        <v>2019arXiv190310241D</v>
      </c>
      <c r="G938" s="1" t="s">
        <v>72</v>
      </c>
      <c r="H938" s="1">
        <v>0.9960991</v>
      </c>
      <c r="I938" s="1" t="s">
        <v>1039</v>
      </c>
    </row>
    <row r="939">
      <c r="A939" s="2" t="str">
        <f>HYPERLINK("https://ui.adsabs.harvard.edu/abs/2019Quant...3..188A/abstract","2019Quant...3..188A")</f>
        <v>2019Quant...3..188A</v>
      </c>
      <c r="B939" s="2" t="str">
        <f>HYPERLINK("https://ui.adsabs.harvard.edu/abs/2018arXiv180707974A/abstract","2018arXiv180707974A")</f>
        <v>2018arXiv180707974A</v>
      </c>
      <c r="C939" s="1" t="s">
        <v>70</v>
      </c>
      <c r="E939" s="2" t="str">
        <f>HYPERLINK("https://ui.adsabs.harvard.edu/abs/2018arXiv180707974A/abstract","2018arXiv180707974A")</f>
        <v>2018arXiv180707974A</v>
      </c>
      <c r="G939" s="1" t="s">
        <v>72</v>
      </c>
      <c r="H939" s="1">
        <v>0.9960991</v>
      </c>
      <c r="I939" s="1" t="s">
        <v>1039</v>
      </c>
    </row>
    <row r="940">
      <c r="A940" s="2" t="str">
        <f>HYPERLINK("https://ui.adsabs.harvard.edu/abs/2019Quant...3..198K/abstract","2019Quant...3..198K")</f>
        <v>2019Quant...3..198K</v>
      </c>
      <c r="B940" s="2" t="str">
        <f>HYPERLINK("https://ui.adsabs.harvard.edu/abs/2018arXiv180703332K/abstract","2018arXiv180703332K")</f>
        <v>2018arXiv180703332K</v>
      </c>
      <c r="C940" s="1" t="s">
        <v>70</v>
      </c>
      <c r="E940" s="2" t="str">
        <f>HYPERLINK("https://ui.adsabs.harvard.edu/abs/2018arXiv180703332K/abstract","2018arXiv180703332K")</f>
        <v>2018arXiv180703332K</v>
      </c>
      <c r="G940" s="1" t="s">
        <v>72</v>
      </c>
      <c r="H940" s="1">
        <v>0.9960991</v>
      </c>
      <c r="I940" s="1" t="s">
        <v>1039</v>
      </c>
    </row>
    <row r="941">
      <c r="A941" s="2" t="str">
        <f>HYPERLINK("https://ui.adsabs.harvard.edu/abs/2019Quant...3..216M/abstract","2019Quant...3..216M")</f>
        <v>2019Quant...3..216M</v>
      </c>
      <c r="B941" s="2" t="str">
        <f>HYPERLINK("https://ui.adsabs.harvard.edu/abs/2019arXiv190605172M/abstract","2019arXiv190605172M")</f>
        <v>2019arXiv190605172M</v>
      </c>
      <c r="C941" s="1" t="s">
        <v>70</v>
      </c>
      <c r="E941" s="2" t="str">
        <f>HYPERLINK("https://ui.adsabs.harvard.edu/abs/2019arXiv190605172M/abstract","2019arXiv190605172M")</f>
        <v>2019arXiv190605172M</v>
      </c>
      <c r="G941" s="1" t="s">
        <v>72</v>
      </c>
      <c r="H941" s="1">
        <v>0.9960991</v>
      </c>
      <c r="I941" s="1" t="s">
        <v>1039</v>
      </c>
    </row>
    <row r="942">
      <c r="A942" s="2" t="str">
        <f>HYPERLINK("https://ui.adsabs.harvard.edu/abs/2020Quant...4..277B/abstract","2020Quant...4..277B")</f>
        <v>2020Quant...4..277B</v>
      </c>
      <c r="B942" s="2" t="str">
        <f>HYPERLINK("https://ui.adsabs.harvard.edu/abs/2019arXiv190706692B/abstract","2019arXiv190706692B")</f>
        <v>2019arXiv190706692B</v>
      </c>
      <c r="C942" s="1" t="s">
        <v>70</v>
      </c>
      <c r="E942" s="2" t="str">
        <f>HYPERLINK("https://ui.adsabs.harvard.edu/abs/2019arXiv190706692B/abstract","2019arXiv190706692B")</f>
        <v>2019arXiv190706692B</v>
      </c>
      <c r="G942" s="1" t="s">
        <v>72</v>
      </c>
      <c r="H942" s="1">
        <v>0.9960991</v>
      </c>
      <c r="I942" s="1" t="s">
        <v>1039</v>
      </c>
    </row>
    <row r="943">
      <c r="A943" s="2" t="str">
        <f>HYPERLINK("https://ui.adsabs.harvard.edu/abs/2020Quant...4..316T/abstract","2020Quant...4..316T")</f>
        <v>2020Quant...4..316T</v>
      </c>
      <c r="B943" s="2" t="str">
        <f>HYPERLINK("https://ui.adsabs.harvard.edu/abs/2019arXiv190701322T/abstract","2019arXiv190701322T")</f>
        <v>2019arXiv190701322T</v>
      </c>
      <c r="C943" s="1" t="s">
        <v>70</v>
      </c>
      <c r="E943" s="2" t="str">
        <f>HYPERLINK("https://ui.adsabs.harvard.edu/abs/2019arXiv190701322T/abstract","2019arXiv190701322T")</f>
        <v>2019arXiv190701322T</v>
      </c>
      <c r="G943" s="1" t="s">
        <v>72</v>
      </c>
      <c r="H943" s="1">
        <v>0.9960991</v>
      </c>
      <c r="I943" s="1" t="s">
        <v>1039</v>
      </c>
    </row>
    <row r="944">
      <c r="A944" s="2" t="str">
        <f>HYPERLINK("https://ui.adsabs.harvard.edu/abs/2020Quant...4..323A/abstract","2020Quant...4..323A")</f>
        <v>2020Quant...4..323A</v>
      </c>
      <c r="B944" s="2" t="str">
        <f>HYPERLINK("https://ui.adsabs.harvard.edu/abs/2019arXiv190702369A/abstract","2019arXiv190702369A")</f>
        <v>2019arXiv190702369A</v>
      </c>
      <c r="C944" s="1" t="s">
        <v>70</v>
      </c>
      <c r="E944" s="2" t="str">
        <f>HYPERLINK("https://ui.adsabs.harvard.edu/abs/2019arXiv190702369A/abstract","2019arXiv190702369A")</f>
        <v>2019arXiv190702369A</v>
      </c>
      <c r="G944" s="1" t="s">
        <v>72</v>
      </c>
      <c r="H944" s="1">
        <v>0.9960991</v>
      </c>
      <c r="I944" s="1" t="s">
        <v>1039</v>
      </c>
    </row>
    <row r="945">
      <c r="A945" s="2" t="str">
        <f>HYPERLINK("https://ui.adsabs.harvard.edu/abs/2020Quant...4..342A/abstract","2020Quant...4..342A")</f>
        <v>2020Quant...4..342A</v>
      </c>
      <c r="B945" s="2" t="str">
        <f>HYPERLINK("https://ui.adsabs.harvard.edu/abs/2020arXiv200610299A/abstract","2020arXiv200610299A")</f>
        <v>2020arXiv200610299A</v>
      </c>
      <c r="C945" s="1" t="s">
        <v>70</v>
      </c>
      <c r="E945" s="2" t="str">
        <f>HYPERLINK("https://ui.adsabs.harvard.edu/abs/2020arXiv200610299A/abstract","2020arXiv200610299A")</f>
        <v>2020arXiv200610299A</v>
      </c>
      <c r="G945" s="1" t="s">
        <v>72</v>
      </c>
      <c r="H945" s="1">
        <v>0.9960991</v>
      </c>
      <c r="I945" s="1" t="s">
        <v>1039</v>
      </c>
    </row>
    <row r="946">
      <c r="A946" s="2" t="str">
        <f>HYPERLINK("https://ui.adsabs.harvard.edu/abs/2020Quant...4..343B/abstract","2020Quant...4..343B")</f>
        <v>2020Quant...4..343B</v>
      </c>
      <c r="B946" s="2" t="str">
        <f>HYPERLINK("https://ui.adsabs.harvard.edu/abs/2020arXiv200311031B/abstract","2020arXiv200311031B")</f>
        <v>2020arXiv200311031B</v>
      </c>
      <c r="C946" s="1" t="s">
        <v>70</v>
      </c>
      <c r="E946" s="2" t="str">
        <f>HYPERLINK("https://ui.adsabs.harvard.edu/abs/2020arXiv200311031B/abstract","2020arXiv200311031B")</f>
        <v>2020arXiv200311031B</v>
      </c>
      <c r="G946" s="1" t="s">
        <v>72</v>
      </c>
      <c r="H946" s="1">
        <v>0.9960991</v>
      </c>
      <c r="I946" s="1" t="s">
        <v>1039</v>
      </c>
    </row>
    <row r="947">
      <c r="A947" s="2" t="str">
        <f>HYPERLINK("https://ui.adsabs.harvard.edu/abs/2020Quant...4..346C/abstract","2020Quant...4..346C")</f>
        <v>2020Quant...4..346C</v>
      </c>
      <c r="B947" s="2" t="str">
        <f>HYPERLINK("https://ui.adsabs.harvard.edu/abs/2019arXiv191101593C/abstract","2019arXiv191101593C")</f>
        <v>2019arXiv191101593C</v>
      </c>
      <c r="C947" s="1" t="s">
        <v>70</v>
      </c>
      <c r="E947" s="2" t="str">
        <f>HYPERLINK("https://ui.adsabs.harvard.edu/abs/2019arXiv191101593C/abstract","2019arXiv191101593C")</f>
        <v>2019arXiv191101593C</v>
      </c>
      <c r="G947" s="1" t="s">
        <v>72</v>
      </c>
      <c r="H947" s="1">
        <v>0.9960991</v>
      </c>
      <c r="I947" s="1" t="s">
        <v>1039</v>
      </c>
    </row>
    <row r="948">
      <c r="A948" s="2" t="str">
        <f>HYPERLINK("https://ui.adsabs.harvard.edu/abs/2020Quant...4..361L/abstract","2020Quant...4..361L")</f>
        <v>2020Quant...4..361L</v>
      </c>
      <c r="B948" s="2" t="str">
        <f>HYPERLINK("https://ui.adsabs.harvard.edu/abs/2019arXiv191014596L/abstract","2019arXiv191014596L")</f>
        <v>2019arXiv191014596L</v>
      </c>
      <c r="C948" s="1" t="s">
        <v>70</v>
      </c>
      <c r="E948" s="2" t="str">
        <f>HYPERLINK("https://ui.adsabs.harvard.edu/abs/2019arXiv191014596L/abstract","2019arXiv191014596L")</f>
        <v>2019arXiv191014596L</v>
      </c>
      <c r="G948" s="1" t="s">
        <v>72</v>
      </c>
      <c r="H948" s="1">
        <v>0.9960991</v>
      </c>
      <c r="I948" s="1" t="s">
        <v>1039</v>
      </c>
    </row>
    <row r="949">
      <c r="A949" s="2" t="str">
        <f>HYPERLINK("https://ui.adsabs.harvard.edu/abs/2020Quant...4..362B/abstract","2020Quant...4..362B")</f>
        <v>2020Quant...4..362B</v>
      </c>
      <c r="B949" s="2" t="str">
        <f>HYPERLINK("https://ui.adsabs.harvard.edu/abs/2019arXiv190405546B/abstract","2019arXiv190405546B")</f>
        <v>2019arXiv190405546B</v>
      </c>
      <c r="C949" s="1" t="s">
        <v>70</v>
      </c>
      <c r="E949" s="2" t="str">
        <f>HYPERLINK("https://ui.adsabs.harvard.edu/abs/2019arXiv190405546B/abstract","2019arXiv190405546B")</f>
        <v>2019arXiv190405546B</v>
      </c>
      <c r="G949" s="1" t="s">
        <v>72</v>
      </c>
      <c r="H949" s="1">
        <v>0.9960991</v>
      </c>
      <c r="I949" s="1" t="s">
        <v>1039</v>
      </c>
    </row>
    <row r="950">
      <c r="A950" s="2" t="str">
        <f>HYPERLINK("https://ui.adsabs.harvard.edu/abs/2020Quant...4..367D/abstract","2020Quant...4..367D")</f>
        <v>2020Quant...4..367D</v>
      </c>
      <c r="B950" s="2" t="str">
        <f>HYPERLINK("https://ui.adsabs.harvard.edu/abs/2020arXiv200414292D/abstract","2020arXiv200414292D")</f>
        <v>2020arXiv200414292D</v>
      </c>
      <c r="C950" s="1" t="s">
        <v>70</v>
      </c>
      <c r="E950" s="2" t="str">
        <f>HYPERLINK("https://ui.adsabs.harvard.edu/abs/2020arXiv200414292D/abstract","2020arXiv200414292D")</f>
        <v>2020arXiv200414292D</v>
      </c>
      <c r="G950" s="1" t="s">
        <v>72</v>
      </c>
      <c r="H950" s="1">
        <v>0.9960991</v>
      </c>
      <c r="I950" s="1" t="s">
        <v>1039</v>
      </c>
    </row>
    <row r="951">
      <c r="A951" s="2" t="str">
        <f>HYPERLINK("https://ui.adsabs.harvard.edu/abs/2021Quant...5..387F/abstract","2021Quant...5..387F")</f>
        <v>2021Quant...5..387F</v>
      </c>
      <c r="B951" s="2" t="str">
        <f>HYPERLINK("https://ui.adsabs.harvard.edu/abs/2020arXiv200712576F/abstract","2020arXiv200712576F")</f>
        <v>2020arXiv200712576F</v>
      </c>
      <c r="C951" s="1" t="s">
        <v>70</v>
      </c>
      <c r="E951" s="2" t="str">
        <f>HYPERLINK("https://ui.adsabs.harvard.edu/abs/2020arXiv200712576F/abstract","2020arXiv200712576F")</f>
        <v>2020arXiv200712576F</v>
      </c>
      <c r="G951" s="1" t="s">
        <v>72</v>
      </c>
      <c r="H951" s="1">
        <v>0.9960991</v>
      </c>
      <c r="I951" s="1" t="s">
        <v>1039</v>
      </c>
    </row>
    <row r="952">
      <c r="A952" s="2" t="str">
        <f>HYPERLINK("https://ui.adsabs.harvard.edu/abs/2021Quant...5..464M/abstract","2021Quant...5..464M")</f>
        <v>2021Quant...5..464M</v>
      </c>
      <c r="B952" s="2" t="str">
        <f>HYPERLINK("https://ui.adsabs.harvard.edu/abs/2021arXiv210102331M/abstract","2021arXiv210102331M")</f>
        <v>2021arXiv210102331M</v>
      </c>
      <c r="C952" s="1" t="s">
        <v>70</v>
      </c>
      <c r="E952" s="2" t="str">
        <f>HYPERLINK("https://ui.adsabs.harvard.edu/abs/2021arXiv210102331M/abstract","2021arXiv210102331M")</f>
        <v>2021arXiv210102331M</v>
      </c>
      <c r="G952" s="1" t="s">
        <v>72</v>
      </c>
      <c r="H952" s="1">
        <v>0.9960991</v>
      </c>
      <c r="I952" s="1" t="s">
        <v>1039</v>
      </c>
    </row>
    <row r="953">
      <c r="A953" s="2" t="str">
        <f>HYPERLINK("https://ui.adsabs.harvard.edu/abs/2021Quant...5..471C/abstract","2021Quant...5..471C")</f>
        <v>2021Quant...5..471C</v>
      </c>
      <c r="B953" s="2" t="str">
        <f>HYPERLINK("https://ui.adsabs.harvard.edu/abs/2021arXiv210206193C/abstract","2021arXiv210206193C")</f>
        <v>2021arXiv210206193C</v>
      </c>
      <c r="C953" s="1" t="s">
        <v>70</v>
      </c>
      <c r="E953" s="2" t="str">
        <f>HYPERLINK("https://ui.adsabs.harvard.edu/abs/2021arXiv210206193C/abstract","2021arXiv210206193C")</f>
        <v>2021arXiv210206193C</v>
      </c>
      <c r="G953" s="1" t="s">
        <v>72</v>
      </c>
      <c r="H953" s="1">
        <v>0.9960991</v>
      </c>
      <c r="I953" s="1" t="s">
        <v>1039</v>
      </c>
    </row>
    <row r="954">
      <c r="A954" s="2" t="str">
        <f>HYPERLINK("https://ui.adsabs.harvard.edu/abs/2021Quant...5..477M/abstract","2021Quant...5..477M")</f>
        <v>2021Quant...5..477M</v>
      </c>
      <c r="B954" s="2" t="str">
        <f>HYPERLINK("https://ui.adsabs.harvard.edu/abs/2020arXiv201109256M/abstract","2020arXiv201109256M")</f>
        <v>2020arXiv201109256M</v>
      </c>
      <c r="C954" s="1" t="s">
        <v>70</v>
      </c>
      <c r="E954" s="2" t="str">
        <f>HYPERLINK("https://ui.adsabs.harvard.edu/abs/2020arXiv201109256M/abstract","2020arXiv201109256M")</f>
        <v>2020arXiv201109256M</v>
      </c>
      <c r="G954" s="1" t="s">
        <v>72</v>
      </c>
      <c r="H954" s="1">
        <v>0.9960991</v>
      </c>
      <c r="I954" s="1" t="s">
        <v>1039</v>
      </c>
    </row>
    <row r="955">
      <c r="A955" s="2" t="str">
        <f>HYPERLINK("https://ui.adsabs.harvard.edu/abs/2021Quant...5..495S/abstract","2021Quant...5..495S")</f>
        <v>2021Quant...5..495S</v>
      </c>
      <c r="B955" s="2" t="str">
        <f>HYPERLINK("https://ui.adsabs.harvard.edu/abs/2020arXiv201209194S/abstract","2020arXiv201209194S")</f>
        <v>2020arXiv201209194S</v>
      </c>
      <c r="C955" s="1" t="s">
        <v>70</v>
      </c>
      <c r="E955" s="2" t="str">
        <f>HYPERLINK("https://ui.adsabs.harvard.edu/abs/2020arXiv201209194S/abstract","2020arXiv201209194S")</f>
        <v>2020arXiv201209194S</v>
      </c>
      <c r="G955" s="1" t="s">
        <v>72</v>
      </c>
      <c r="H955" s="1">
        <v>0.9960991</v>
      </c>
      <c r="I955" s="1" t="s">
        <v>1039</v>
      </c>
    </row>
    <row r="956">
      <c r="A956" s="2" t="str">
        <f>HYPERLINK("https://ui.adsabs.harvard.edu/abs/2021Quant...5..498E/abstract","2021Quant...5..498E")</f>
        <v>2021Quant...5..498E</v>
      </c>
      <c r="B956" s="2" t="str">
        <f>HYPERLINK("https://ui.adsabs.harvard.edu/abs/2020arXiv200909905E/abstract","2020arXiv200909905E")</f>
        <v>2020arXiv200909905E</v>
      </c>
      <c r="C956" s="1" t="s">
        <v>70</v>
      </c>
      <c r="E956" s="2" t="str">
        <f>HYPERLINK("https://ui.adsabs.harvard.edu/abs/2020arXiv200909905E/abstract","2020arXiv200909905E")</f>
        <v>2020arXiv200909905E</v>
      </c>
      <c r="G956" s="1" t="s">
        <v>72</v>
      </c>
      <c r="H956" s="1">
        <v>0.9960991</v>
      </c>
      <c r="I956" s="1" t="s">
        <v>1039</v>
      </c>
    </row>
    <row r="957">
      <c r="A957" s="2" t="str">
        <f>HYPERLINK("https://ui.adsabs.harvard.edu/abs/2021Quant...5..499B/abstract","2021Quant...5..499B")</f>
        <v>2021Quant...5..499B</v>
      </c>
      <c r="B957" s="2" t="str">
        <f>HYPERLINK("https://ui.adsabs.harvard.edu/abs/2020arXiv200716034B/abstract","2020arXiv200716034B")</f>
        <v>2020arXiv200716034B</v>
      </c>
      <c r="C957" s="1" t="s">
        <v>70</v>
      </c>
      <c r="E957" s="2" t="str">
        <f>HYPERLINK("https://ui.adsabs.harvard.edu/abs/2020arXiv200716034B/abstract","2020arXiv200716034B")</f>
        <v>2020arXiv200716034B</v>
      </c>
      <c r="G957" s="1" t="s">
        <v>72</v>
      </c>
      <c r="H957" s="1">
        <v>0.9960991</v>
      </c>
      <c r="I957" s="1" t="s">
        <v>1039</v>
      </c>
    </row>
    <row r="958">
      <c r="A958" s="2" t="str">
        <f>HYPERLINK("https://ui.adsabs.harvard.edu/abs/2021Quant...5..555Q/abstract","2021Quant...5..555Q")</f>
        <v>2021Quant...5..555Q</v>
      </c>
      <c r="B958" s="2" t="str">
        <f>HYPERLINK("https://ui.adsabs.harvard.edu/abs/2020arXiv200101507Q/abstract","2020arXiv200101507Q")</f>
        <v>2020arXiv200101507Q</v>
      </c>
      <c r="C958" s="1" t="s">
        <v>70</v>
      </c>
      <c r="E958" s="2" t="str">
        <f>HYPERLINK("https://ui.adsabs.harvard.edu/abs/2020arXiv200101507Q/abstract","2020arXiv200101507Q")</f>
        <v>2020arXiv200101507Q</v>
      </c>
      <c r="G958" s="1" t="s">
        <v>72</v>
      </c>
      <c r="H958" s="1">
        <v>0.9960991</v>
      </c>
      <c r="I958" s="1" t="s">
        <v>1039</v>
      </c>
    </row>
    <row r="959">
      <c r="A959" s="2" t="str">
        <f>HYPERLINK("https://ui.adsabs.harvard.edu/abs/2021Quant...5..575B/abstract","2021Quant...5..575B")</f>
        <v>2021Quant...5..575B</v>
      </c>
      <c r="B959" s="2" t="str">
        <f>HYPERLINK("https://ui.adsabs.harvard.edu/abs/2020arXiv201207285B/abstract","2020arXiv201207285B")</f>
        <v>2020arXiv201207285B</v>
      </c>
      <c r="C959" s="1" t="s">
        <v>70</v>
      </c>
      <c r="E959" s="2" t="str">
        <f>HYPERLINK("https://ui.adsabs.harvard.edu/abs/2020arXiv201207285B/abstract","2020arXiv201207285B")</f>
        <v>2020arXiv201207285B</v>
      </c>
      <c r="G959" s="1" t="s">
        <v>72</v>
      </c>
      <c r="H959" s="1">
        <v>0.9960991</v>
      </c>
      <c r="I959" s="1" t="s">
        <v>1039</v>
      </c>
    </row>
    <row r="960">
      <c r="A960" s="2" t="str">
        <f>HYPERLINK("https://ui.adsabs.harvard.edu/abs/2021Quant...5..594T/abstract","2021Quant...5..594T")</f>
        <v>2021Quant...5..594T</v>
      </c>
      <c r="B960" s="2" t="str">
        <f>HYPERLINK("https://ui.adsabs.harvard.edu/abs/2021arXiv210506115T/abstract","2021arXiv210506115T")</f>
        <v>2021arXiv210506115T</v>
      </c>
      <c r="C960" s="1" t="s">
        <v>70</v>
      </c>
      <c r="E960" s="2" t="str">
        <f>HYPERLINK("https://ui.adsabs.harvard.edu/abs/2021arXiv210506115T/abstract","2021arXiv210506115T")</f>
        <v>2021arXiv210506115T</v>
      </c>
      <c r="G960" s="1" t="s">
        <v>72</v>
      </c>
      <c r="H960" s="1">
        <v>0.9960991</v>
      </c>
      <c r="I960" s="1" t="s">
        <v>1039</v>
      </c>
    </row>
    <row r="961">
      <c r="A961" s="2" t="str">
        <f>HYPERLINK("https://ui.adsabs.harvard.edu/abs/2022Quant...6..645L/abstract","2022Quant...6..645L")</f>
        <v>2022Quant...6..645L</v>
      </c>
      <c r="B961" s="2" t="str">
        <f>HYPERLINK("https://ui.adsabs.harvard.edu/abs/2021arXiv210710551L/abstract","2021arXiv210710551L")</f>
        <v>2021arXiv210710551L</v>
      </c>
      <c r="C961" s="1" t="s">
        <v>70</v>
      </c>
      <c r="E961" s="2" t="str">
        <f>HYPERLINK("https://ui.adsabs.harvard.edu/abs/2021arXiv210710551L/abstract","2021arXiv210710551L")</f>
        <v>2021arXiv210710551L</v>
      </c>
      <c r="G961" s="1" t="s">
        <v>72</v>
      </c>
      <c r="H961" s="1">
        <v>0.9960991</v>
      </c>
      <c r="I961" s="1" t="s">
        <v>1039</v>
      </c>
    </row>
    <row r="962">
      <c r="A962" s="2" t="str">
        <f>HYPERLINK("https://ui.adsabs.harvard.edu/abs/2022Quant...6..652P/abstract","2022Quant...6..652P")</f>
        <v>2022Quant...6..652P</v>
      </c>
      <c r="B962" s="2" t="str">
        <f>HYPERLINK("https://ui.adsabs.harvard.edu/abs/2021arXiv210603214P/abstract","2021arXiv210603214P")</f>
        <v>2021arXiv210603214P</v>
      </c>
      <c r="C962" s="1" t="s">
        <v>70</v>
      </c>
      <c r="E962" s="2" t="str">
        <f>HYPERLINK("https://ui.adsabs.harvard.edu/abs/2021arXiv210603214P/abstract","2021arXiv210603214P")</f>
        <v>2021arXiv210603214P</v>
      </c>
      <c r="G962" s="1" t="s">
        <v>72</v>
      </c>
      <c r="H962" s="1">
        <v>0.9960991</v>
      </c>
      <c r="I962" s="1" t="s">
        <v>1039</v>
      </c>
    </row>
    <row r="963">
      <c r="A963" s="2" t="str">
        <f>HYPERLINK("https://ui.adsabs.harvard.edu/abs/2022Quant...6..704Z/abstract","2022Quant...6..704Z")</f>
        <v>2022Quant...6..704Z</v>
      </c>
      <c r="B963" s="2" t="str">
        <f>HYPERLINK("https://ui.adsabs.harvard.edu/abs/2021arXiv210309197Z/abstract","2021arXiv210309197Z")</f>
        <v>2021arXiv210309197Z</v>
      </c>
      <c r="C963" s="1" t="s">
        <v>70</v>
      </c>
      <c r="E963" s="2" t="str">
        <f>HYPERLINK("https://ui.adsabs.harvard.edu/abs/2021arXiv210309197Z/abstract","2021arXiv210309197Z")</f>
        <v>2021arXiv210309197Z</v>
      </c>
      <c r="G963" s="1" t="s">
        <v>72</v>
      </c>
      <c r="H963" s="1">
        <v>0.9960991</v>
      </c>
      <c r="I963" s="1" t="s">
        <v>1039</v>
      </c>
    </row>
    <row r="964">
      <c r="A964" s="2" t="str">
        <f>HYPERLINK("https://ui.adsabs.harvard.edu/abs/2022Quant...6..712J/abstract","2022Quant...6..712J")</f>
        <v>2022Quant...6..712J</v>
      </c>
      <c r="B964" s="2" t="str">
        <f>HYPERLINK("https://ui.adsabs.harvard.edu/abs/2022arXiv220200903J/abstract","2022arXiv220200903J")</f>
        <v>2022arXiv220200903J</v>
      </c>
      <c r="C964" s="1" t="s">
        <v>70</v>
      </c>
      <c r="E964" s="2" t="str">
        <f>HYPERLINK("https://ui.adsabs.harvard.edu/abs/2022arXiv220200903J/abstract","2022arXiv220200903J")</f>
        <v>2022arXiv220200903J</v>
      </c>
      <c r="G964" s="1" t="s">
        <v>72</v>
      </c>
      <c r="H964" s="1">
        <v>0.9960991</v>
      </c>
      <c r="I964" s="1" t="s">
        <v>1039</v>
      </c>
    </row>
    <row r="965">
      <c r="A965" s="2" t="str">
        <f>HYPERLINK("https://ui.adsabs.harvard.edu/abs/2022Quant...6..723Z/abstract","2022Quant...6..723Z")</f>
        <v>2022Quant...6..723Z</v>
      </c>
      <c r="B965" s="2" t="str">
        <f>HYPERLINK("https://ui.adsabs.harvard.edu/abs/2021arXiv210508895Z/abstract","2021arXiv210508895Z")</f>
        <v>2021arXiv210508895Z</v>
      </c>
      <c r="C965" s="1" t="s">
        <v>70</v>
      </c>
      <c r="E965" s="2" t="str">
        <f>HYPERLINK("https://ui.adsabs.harvard.edu/abs/2021arXiv210508895Z/abstract","2021arXiv210508895Z")</f>
        <v>2021arXiv210508895Z</v>
      </c>
      <c r="G965" s="1" t="s">
        <v>72</v>
      </c>
      <c r="H965" s="1">
        <v>0.9960991</v>
      </c>
      <c r="I965" s="1" t="s">
        <v>1039</v>
      </c>
    </row>
    <row r="966">
      <c r="A966" s="2" t="str">
        <f>HYPERLINK("https://ui.adsabs.harvard.edu/abs/2022Quant...6..730A/abstract","2022Quant...6..730A")</f>
        <v>2022Quant...6..730A</v>
      </c>
      <c r="B966" s="2" t="str">
        <f>HYPERLINK("https://ui.adsabs.harvard.edu/abs/2021arXiv210810846A/abstract","2021arXiv210810846A")</f>
        <v>2021arXiv210810846A</v>
      </c>
      <c r="C966" s="1" t="s">
        <v>70</v>
      </c>
      <c r="E966" s="2" t="str">
        <f>HYPERLINK("https://ui.adsabs.harvard.edu/abs/2021arXiv210810846A/abstract","2021arXiv210810846A")</f>
        <v>2021arXiv210810846A</v>
      </c>
      <c r="G966" s="1" t="s">
        <v>72</v>
      </c>
      <c r="H966" s="1">
        <v>0.9960991</v>
      </c>
      <c r="I966" s="1" t="s">
        <v>1039</v>
      </c>
    </row>
    <row r="967">
      <c r="A967" s="2" t="str">
        <f>HYPERLINK("https://ui.adsabs.harvard.edu/abs/2022Quant...6..763Y/abstract","2022Quant...6..763Y")</f>
        <v>2022Quant...6..763Y</v>
      </c>
      <c r="B967" s="2" t="str">
        <f>HYPERLINK("https://ui.adsabs.harvard.edu/abs/2021arXiv210907390Y/abstract","2021arXiv210907390Y")</f>
        <v>2021arXiv210907390Y</v>
      </c>
      <c r="C967" s="1" t="s">
        <v>70</v>
      </c>
      <c r="E967" s="2" t="str">
        <f>HYPERLINK("https://ui.adsabs.harvard.edu/abs/2021arXiv210907390Y/abstract","2021arXiv210907390Y")</f>
        <v>2021arXiv210907390Y</v>
      </c>
      <c r="G967" s="1" t="s">
        <v>72</v>
      </c>
      <c r="H967" s="1">
        <v>0.9960991</v>
      </c>
      <c r="I967" s="1" t="s">
        <v>1039</v>
      </c>
    </row>
    <row r="968">
      <c r="A968" s="2" t="str">
        <f>HYPERLINK("https://ui.adsabs.harvard.edu/abs/2022Quant...6..769E/abstract","2022Quant...6..769E")</f>
        <v>2022Quant...6..769E</v>
      </c>
      <c r="B968" s="2" t="str">
        <f>HYPERLINK("https://ui.adsabs.harvard.edu/abs/2021arXiv211210311E/abstract","2021arXiv211210311E")</f>
        <v>2021arXiv211210311E</v>
      </c>
      <c r="C968" s="1" t="s">
        <v>70</v>
      </c>
      <c r="E968" s="2" t="str">
        <f>HYPERLINK("https://ui.adsabs.harvard.edu/abs/2021arXiv211210311E/abstract","2021arXiv211210311E")</f>
        <v>2021arXiv211210311E</v>
      </c>
      <c r="G968" s="1" t="s">
        <v>72</v>
      </c>
      <c r="H968" s="1">
        <v>0.9960991</v>
      </c>
      <c r="I968" s="1" t="s">
        <v>1039</v>
      </c>
    </row>
    <row r="969">
      <c r="A969" s="2" t="str">
        <f>HYPERLINK("https://ui.adsabs.harvard.edu/abs/2022Quant...6..775S/abstract","2022Quant...6..775S")</f>
        <v>2022Quant...6..775S</v>
      </c>
      <c r="B969" s="2" t="str">
        <f>HYPERLINK("https://ui.adsabs.harvard.edu/abs/2021arXiv210700392S/abstract","2021arXiv210700392S")</f>
        <v>2021arXiv210700392S</v>
      </c>
      <c r="C969" s="1" t="s">
        <v>70</v>
      </c>
      <c r="E969" s="2" t="str">
        <f>HYPERLINK("https://ui.adsabs.harvard.edu/abs/2021arXiv210700392S/abstract","2021arXiv210700392S")</f>
        <v>2021arXiv210700392S</v>
      </c>
      <c r="G969" s="1" t="s">
        <v>72</v>
      </c>
      <c r="H969" s="1">
        <v>0.9960991</v>
      </c>
      <c r="I969" s="1" t="s">
        <v>1039</v>
      </c>
    </row>
    <row r="970">
      <c r="A970" s="2" t="str">
        <f>HYPERLINK("https://ui.adsabs.harvard.edu/abs/2022Quant...6..781T/abstract","2022Quant...6..781T")</f>
        <v>2022Quant...6..781T</v>
      </c>
      <c r="B970" s="2" t="str">
        <f>HYPERLINK("https://ui.adsabs.harvard.edu/abs/2021arXiv210704109T/abstract","2021arXiv210704109T")</f>
        <v>2021arXiv210704109T</v>
      </c>
      <c r="C970" s="1" t="s">
        <v>70</v>
      </c>
      <c r="E970" s="2" t="str">
        <f>HYPERLINK("https://ui.adsabs.harvard.edu/abs/2021arXiv210704109T/abstract","2021arXiv210704109T")</f>
        <v>2021arXiv210704109T</v>
      </c>
      <c r="G970" s="1" t="s">
        <v>72</v>
      </c>
      <c r="H970" s="1">
        <v>0.9960991</v>
      </c>
      <c r="I970" s="1" t="s">
        <v>1039</v>
      </c>
    </row>
    <row r="971">
      <c r="A971" s="2" t="str">
        <f>HYPERLINK("https://ui.adsabs.harvard.edu/abs/2022Quant...6..860C/abstract","2022Quant...6..860C")</f>
        <v>2022Quant...6..860C</v>
      </c>
      <c r="B971" s="2" t="str">
        <f>HYPERLINK("https://ui.adsabs.harvard.edu/abs/2022arXiv220317006C/abstract","2022arXiv220317006C")</f>
        <v>2022arXiv220317006C</v>
      </c>
      <c r="C971" s="1" t="s">
        <v>70</v>
      </c>
      <c r="E971" s="2" t="str">
        <f>HYPERLINK("https://ui.adsabs.harvard.edu/abs/2022arXiv220317006C/abstract","2022arXiv220317006C")</f>
        <v>2022arXiv220317006C</v>
      </c>
      <c r="G971" s="1" t="s">
        <v>72</v>
      </c>
      <c r="H971" s="1">
        <v>0.9960991</v>
      </c>
      <c r="I971" s="1" t="s">
        <v>1039</v>
      </c>
    </row>
    <row r="972">
      <c r="A972" s="2" t="str">
        <f>HYPERLINK("https://ui.adsabs.harvard.edu/abs/2022Quant...6..614F/abstract","2022Quant...6..614F")</f>
        <v>2022Quant...6..614F</v>
      </c>
      <c r="E972" s="2" t="str">
        <f>HYPERLINK("https://ui.adsabs.harvard.edu/abs/2019arXiv191101494F/abstract","2019arXiv191101494F")</f>
        <v>2019arXiv191101494F</v>
      </c>
      <c r="G972" s="1" t="s">
        <v>72</v>
      </c>
      <c r="H972" s="1">
        <v>0.9961027</v>
      </c>
      <c r="I972" s="1" t="s">
        <v>1040</v>
      </c>
    </row>
    <row r="973">
      <c r="A973" s="2" t="str">
        <f>HYPERLINK("https://ui.adsabs.harvard.edu/abs/2023npjCM...9....3J/abstract","2023npjCM...9....3J")</f>
        <v>2023npjCM...9....3J</v>
      </c>
      <c r="B973" s="2" t="str">
        <f>HYPERLINK("https://ui.adsabs.harvard.edu/abs/2022arXiv221210385J/abstract","2022arXiv221210385J")</f>
        <v>2022arXiv221210385J</v>
      </c>
      <c r="C973" s="1" t="s">
        <v>70</v>
      </c>
      <c r="E973" s="2" t="str">
        <f>HYPERLINK("https://ui.adsabs.harvard.edu/abs/2022arXiv221210385J/abstract","2022arXiv221210385J")</f>
        <v>2022arXiv221210385J</v>
      </c>
      <c r="G973" s="1" t="s">
        <v>72</v>
      </c>
      <c r="H973" s="1">
        <v>0.9961402</v>
      </c>
      <c r="I973" s="1" t="s">
        <v>1041</v>
      </c>
    </row>
    <row r="974">
      <c r="A974" s="2" t="str">
        <f>HYPERLINK("https://ui.adsabs.harvard.edu/abs/2023npjQI...9....2Y/abstract","2023npjQI...9....2Y")</f>
        <v>2023npjQI...9....2Y</v>
      </c>
      <c r="B974" s="2" t="str">
        <f>HYPERLINK("https://ui.adsabs.harvard.edu/abs/2022arXiv221206531Y/abstract","2022arXiv221206531Y")</f>
        <v>2022arXiv221206531Y</v>
      </c>
      <c r="C974" s="1" t="s">
        <v>70</v>
      </c>
      <c r="E974" s="2" t="str">
        <f>HYPERLINK("https://ui.adsabs.harvard.edu/abs/2022arXiv221206531Y/abstract","2022arXiv221206531Y")</f>
        <v>2022arXiv221206531Y</v>
      </c>
      <c r="G974" s="1" t="s">
        <v>72</v>
      </c>
      <c r="H974" s="1">
        <v>0.9961402</v>
      </c>
      <c r="I974" s="1" t="s">
        <v>1041</v>
      </c>
    </row>
    <row r="975">
      <c r="A975" s="2" t="str">
        <f>HYPERLINK("https://ui.adsabs.harvard.edu/abs/2023CompM.tmp....4L/abstract","2023CompM.tmp....4L")</f>
        <v>2023CompM.tmp....4L</v>
      </c>
      <c r="B975" s="2" t="str">
        <f>HYPERLINK("https://ui.adsabs.harvard.edu/abs/2022arXiv220607756L/abstract","2022arXiv220607756L")</f>
        <v>2022arXiv220607756L</v>
      </c>
      <c r="C975" s="1" t="s">
        <v>70</v>
      </c>
      <c r="E975" s="2" t="str">
        <f>HYPERLINK("https://ui.adsabs.harvard.edu/abs/2022arXiv220607756L/abstract","2022arXiv220607756L")</f>
        <v>2022arXiv220607756L</v>
      </c>
      <c r="G975" s="1" t="s">
        <v>72</v>
      </c>
      <c r="H975" s="1">
        <v>0.9961402</v>
      </c>
      <c r="I975" s="1" t="s">
        <v>1041</v>
      </c>
    </row>
    <row r="976">
      <c r="A976" s="2" t="str">
        <f>HYPERLINK("https://ui.adsabs.harvard.edu/abs/2022Ge&amp;Ae..62..817K/abstract","2022Ge&amp;Ae..62..817K")</f>
        <v>2022Ge&amp;Ae..62..817K</v>
      </c>
      <c r="B976" s="2" t="str">
        <f>HYPERLINK("https://ui.adsabs.harvard.edu/abs/2022arXiv220513747K/abstract","2022arXiv220513747K")</f>
        <v>2022arXiv220513747K</v>
      </c>
      <c r="C976" s="1" t="s">
        <v>70</v>
      </c>
      <c r="E976" s="2" t="str">
        <f>HYPERLINK("https://ui.adsabs.harvard.edu/abs/2022arXiv220513747K/abstract","2022arXiv220513747K")</f>
        <v>2022arXiv220513747K</v>
      </c>
      <c r="G976" s="1" t="s">
        <v>72</v>
      </c>
      <c r="H976" s="1">
        <v>0.9961402</v>
      </c>
      <c r="I976" s="1" t="s">
        <v>1041</v>
      </c>
    </row>
    <row r="977">
      <c r="A977" s="2" t="str">
        <f>HYPERLINK("https://ui.adsabs.harvard.edu/abs/2022Ge&amp;Ae..62..903K/abstract","2022Ge&amp;Ae..62..903K")</f>
        <v>2022Ge&amp;Ae..62..903K</v>
      </c>
      <c r="B977" s="2" t="str">
        <f>HYPERLINK("https://ui.adsabs.harvard.edu/abs/2022arXiv221210142K/abstract","2022arXiv221210142K")</f>
        <v>2022arXiv221210142K</v>
      </c>
      <c r="C977" s="1" t="s">
        <v>70</v>
      </c>
      <c r="E977" s="2" t="str">
        <f>HYPERLINK("https://ui.adsabs.harvard.edu/abs/2022arXiv221210142K/abstract","2022arXiv221210142K")</f>
        <v>2022arXiv221210142K</v>
      </c>
      <c r="G977" s="1" t="s">
        <v>72</v>
      </c>
      <c r="H977" s="1">
        <v>0.9961402</v>
      </c>
      <c r="I977" s="1" t="s">
        <v>1041</v>
      </c>
    </row>
    <row r="978">
      <c r="A978" s="2" t="str">
        <f>HYPERLINK("https://ui.adsabs.harvard.edu/abs/2023CompM..71...39T/abstract","2023CompM..71...39T")</f>
        <v>2023CompM..71...39T</v>
      </c>
      <c r="E978" s="2" t="str">
        <f>HYPERLINK("https://ui.adsabs.harvard.edu/abs/2022CompM.tmp..133T/abstract","2022CompM.tmp..133T")</f>
        <v>2022CompM.tmp..133T</v>
      </c>
      <c r="G978" s="1" t="s">
        <v>72</v>
      </c>
      <c r="H978" s="1">
        <v>0.9961402</v>
      </c>
      <c r="I978" s="1" t="s">
        <v>1041</v>
      </c>
    </row>
    <row r="979">
      <c r="A979" s="2" t="str">
        <f>HYPERLINK("https://ui.adsabs.harvard.edu/abs/2023EPJC...83...14N/abstract","2023EPJC...83...14N")</f>
        <v>2023EPJC...83...14N</v>
      </c>
      <c r="B979" s="2" t="str">
        <f>HYPERLINK("https://ui.adsabs.harvard.edu/abs/2022arXiv221016200N/abstract","2022arXiv221016200N")</f>
        <v>2022arXiv221016200N</v>
      </c>
      <c r="C979" s="1" t="s">
        <v>70</v>
      </c>
      <c r="E979" s="2" t="str">
        <f>HYPERLINK("https://ui.adsabs.harvard.edu/abs/2022arXiv221016200N/abstract","2022arXiv221016200N")</f>
        <v>2022arXiv221016200N</v>
      </c>
      <c r="G979" s="1" t="s">
        <v>72</v>
      </c>
      <c r="H979" s="1">
        <v>0.9961402</v>
      </c>
      <c r="I979" s="1" t="s">
        <v>1041</v>
      </c>
    </row>
    <row r="980">
      <c r="A980" s="2" t="str">
        <f>HYPERLINK("https://ui.adsabs.harvard.edu/abs/2023EPJC...83...18Z/abstract","2023EPJC...83...18Z")</f>
        <v>2023EPJC...83...18Z</v>
      </c>
      <c r="B980" s="2" t="str">
        <f>HYPERLINK("https://ui.adsabs.harvard.edu/abs/2022arXiv220500345Z/abstract","2022arXiv220500345Z")</f>
        <v>2022arXiv220500345Z</v>
      </c>
      <c r="C980" s="1" t="s">
        <v>70</v>
      </c>
      <c r="E980" s="2" t="str">
        <f>HYPERLINK("https://ui.adsabs.harvard.edu/abs/2022arXiv220500345Z/abstract","2022arXiv220500345Z")</f>
        <v>2022arXiv220500345Z</v>
      </c>
      <c r="G980" s="1" t="s">
        <v>72</v>
      </c>
      <c r="H980" s="1">
        <v>0.9961402</v>
      </c>
      <c r="I980" s="1" t="s">
        <v>1041</v>
      </c>
    </row>
    <row r="981">
      <c r="A981" s="2" t="str">
        <f>HYPERLINK("https://ui.adsabs.harvard.edu/abs/2023EPJC...83...16M/abstract","2023EPJC...83...16M")</f>
        <v>2023EPJC...83...16M</v>
      </c>
      <c r="B981" s="2" t="str">
        <f>HYPERLINK("https://ui.adsabs.harvard.edu/abs/2022arXiv221005434M/abstract","2022arXiv221005434M")</f>
        <v>2022arXiv221005434M</v>
      </c>
      <c r="C981" s="1" t="s">
        <v>70</v>
      </c>
      <c r="E981" s="2" t="str">
        <f>HYPERLINK("https://ui.adsabs.harvard.edu/abs/2022arXiv221005434M/abstract","2022arXiv221005434M")</f>
        <v>2022arXiv221005434M</v>
      </c>
      <c r="G981" s="1" t="s">
        <v>72</v>
      </c>
      <c r="H981" s="1">
        <v>0.9961402</v>
      </c>
      <c r="I981" s="1" t="s">
        <v>1041</v>
      </c>
    </row>
    <row r="982">
      <c r="A982" s="2" t="str">
        <f>HYPERLINK("https://ui.adsabs.harvard.edu/abs/2023EPJC...83...35T/abstract","2023EPJC...83...35T")</f>
        <v>2023EPJC...83...35T</v>
      </c>
      <c r="B982" s="2" t="str">
        <f>HYPERLINK("https://ui.adsabs.harvard.edu/abs/2022arXiv220814089T/abstract","2022arXiv220814089T")</f>
        <v>2022arXiv220814089T</v>
      </c>
      <c r="C982" s="1" t="s">
        <v>70</v>
      </c>
      <c r="E982" s="2" t="str">
        <f>HYPERLINK("https://ui.adsabs.harvard.edu/abs/2022arXiv220814089T/abstract","2022arXiv220814089T")</f>
        <v>2022arXiv220814089T</v>
      </c>
      <c r="G982" s="1" t="s">
        <v>72</v>
      </c>
      <c r="H982" s="1">
        <v>0.9961402</v>
      </c>
      <c r="I982" s="1" t="s">
        <v>1041</v>
      </c>
    </row>
    <row r="983">
      <c r="A983" s="2" t="str">
        <f>HYPERLINK("https://ui.adsabs.harvard.edu/abs/2023EPJC...83...30N/abstract","2023EPJC...83...30N")</f>
        <v>2023EPJC...83...30N</v>
      </c>
      <c r="B983" s="2" t="str">
        <f>HYPERLINK("https://ui.adsabs.harvard.edu/abs/2022arXiv220402388N/abstract","2022arXiv220402388N")</f>
        <v>2022arXiv220402388N</v>
      </c>
      <c r="C983" s="1" t="s">
        <v>70</v>
      </c>
      <c r="E983" s="2" t="str">
        <f>HYPERLINK("https://ui.adsabs.harvard.edu/abs/2022arXiv220402388N/abstract","2022arXiv220402388N")</f>
        <v>2022arXiv220402388N</v>
      </c>
      <c r="G983" s="1" t="s">
        <v>72</v>
      </c>
      <c r="H983" s="1">
        <v>0.9961402</v>
      </c>
      <c r="I983" s="1" t="s">
        <v>1041</v>
      </c>
    </row>
    <row r="984">
      <c r="A984" s="2" t="str">
        <f>HYPERLINK("https://ui.adsabs.harvard.edu/abs/2023EPJC...83...26P/abstract","2023EPJC...83...26P")</f>
        <v>2023EPJC...83...26P</v>
      </c>
      <c r="B984" s="2" t="str">
        <f>HYPERLINK("https://ui.adsabs.harvard.edu/abs/2023arXiv230103504P/abstract","2023arXiv230103504P")</f>
        <v>2023arXiv230103504P</v>
      </c>
      <c r="C984" s="1" t="s">
        <v>70</v>
      </c>
      <c r="E984" s="2" t="str">
        <f>HYPERLINK("https://ui.adsabs.harvard.edu/abs/2023arXiv230103504P/abstract","2023arXiv230103504P")</f>
        <v>2023arXiv230103504P</v>
      </c>
      <c r="G984" s="1" t="s">
        <v>72</v>
      </c>
      <c r="H984" s="1">
        <v>0.9961402</v>
      </c>
      <c r="I984" s="1" t="s">
        <v>1041</v>
      </c>
    </row>
    <row r="985">
      <c r="A985" s="2" t="str">
        <f>HYPERLINK("https://ui.adsabs.harvard.edu/abs/2023QuIP...22...56Z/abstract","2023QuIP...22...56Z")</f>
        <v>2023QuIP...22...56Z</v>
      </c>
      <c r="B985" s="2" t="str">
        <f>HYPERLINK("https://ui.adsabs.harvard.edu/abs/2023arXiv230108166Z/abstract","2023arXiv230108166Z")</f>
        <v>2023arXiv230108166Z</v>
      </c>
      <c r="C985" s="1" t="s">
        <v>70</v>
      </c>
      <c r="E985" s="2" t="str">
        <f>HYPERLINK("https://ui.adsabs.harvard.edu/abs/2023arXiv230108166Z/abstract","2023arXiv230108166Z")</f>
        <v>2023arXiv230108166Z</v>
      </c>
      <c r="G985" s="1" t="s">
        <v>72</v>
      </c>
      <c r="H985" s="1">
        <v>0.9961402</v>
      </c>
      <c r="I985" s="1" t="s">
        <v>1041</v>
      </c>
    </row>
    <row r="986">
      <c r="A986" s="2" t="str">
        <f>HYPERLINK("https://ui.adsabs.harvard.edu/abs/2023JHEP...01..027D/abstract","2023JHEP...01..027D")</f>
        <v>2023JHEP...01..027D</v>
      </c>
      <c r="B986" s="2" t="str">
        <f>HYPERLINK("https://ui.adsabs.harvard.edu/abs/2022arXiv220703351D/abstract","2022arXiv220703351D")</f>
        <v>2022arXiv220703351D</v>
      </c>
      <c r="C986" s="1" t="s">
        <v>70</v>
      </c>
      <c r="E986" s="2" t="str">
        <f>HYPERLINK("https://ui.adsabs.harvard.edu/abs/2022arXiv220703351D/abstract","2022arXiv220703351D")</f>
        <v>2022arXiv220703351D</v>
      </c>
      <c r="G986" s="1" t="s">
        <v>72</v>
      </c>
      <c r="H986" s="1">
        <v>0.9961402</v>
      </c>
      <c r="I986" s="1" t="s">
        <v>1041</v>
      </c>
    </row>
    <row r="987">
      <c r="A987" s="2" t="str">
        <f>HYPERLINK("https://ui.adsabs.harvard.edu/abs/2023JHEP...01..029H/abstract","2023JHEP...01..029H")</f>
        <v>2023JHEP...01..029H</v>
      </c>
      <c r="E987" s="2" t="str">
        <f>HYPERLINK("https://ui.adsabs.harvard.edu/abs/2022arXiv220801426H/abstract","2022arXiv220801426H")</f>
        <v>2022arXiv220801426H</v>
      </c>
      <c r="G987" s="1" t="s">
        <v>72</v>
      </c>
      <c r="H987" s="1">
        <v>0.9961402</v>
      </c>
      <c r="I987" s="1" t="s">
        <v>1041</v>
      </c>
    </row>
    <row r="988">
      <c r="A988" s="2" t="str">
        <f>HYPERLINK("https://ui.adsabs.harvard.edu/abs/2023JHEP...01..051C/abstract","2023JHEP...01..051C")</f>
        <v>2023JHEP...01..051C</v>
      </c>
      <c r="B988" s="2" t="str">
        <f>HYPERLINK("https://ui.adsabs.harvard.edu/abs/2022arXiv220405803C/abstract","2022arXiv220405803C")</f>
        <v>2022arXiv220405803C</v>
      </c>
      <c r="C988" s="1" t="s">
        <v>70</v>
      </c>
      <c r="E988" s="2" t="str">
        <f>HYPERLINK("https://ui.adsabs.harvard.edu/abs/2022arXiv220405803C/abstract","2022arXiv220405803C")</f>
        <v>2022arXiv220405803C</v>
      </c>
      <c r="G988" s="1" t="s">
        <v>72</v>
      </c>
      <c r="H988" s="1">
        <v>0.9961402</v>
      </c>
      <c r="I988" s="1" t="s">
        <v>1041</v>
      </c>
    </row>
    <row r="989">
      <c r="A989" s="2" t="str">
        <f>HYPERLINK("https://ui.adsabs.harvard.edu/abs/2023JHEP...01..054B/abstract","2023JHEP...01..054B")</f>
        <v>2023JHEP...01..054B</v>
      </c>
      <c r="B989" s="2" t="str">
        <f>HYPERLINK("https://ui.adsabs.harvard.edu/abs/2022arXiv220811706B/abstract","2022arXiv220811706B")</f>
        <v>2022arXiv220811706B</v>
      </c>
      <c r="C989" s="1" t="s">
        <v>70</v>
      </c>
      <c r="E989" s="2" t="str">
        <f>HYPERLINK("https://ui.adsabs.harvard.edu/abs/2022arXiv220811706B/abstract","2022arXiv220811706B")</f>
        <v>2022arXiv220811706B</v>
      </c>
      <c r="G989" s="1" t="s">
        <v>72</v>
      </c>
      <c r="H989" s="1">
        <v>0.9961402</v>
      </c>
      <c r="I989" s="1" t="s">
        <v>1041</v>
      </c>
    </row>
    <row r="990">
      <c r="A990" s="2" t="str">
        <f>HYPERLINK("https://ui.adsabs.harvard.edu/abs/2023EPJP..138...19G/abstract","2023EPJP..138...19G")</f>
        <v>2023EPJP..138...19G</v>
      </c>
      <c r="B990" s="2" t="str">
        <f>HYPERLINK("https://ui.adsabs.harvard.edu/abs/2022arXiv220909073G/abstract","2022arXiv220909073G")</f>
        <v>2022arXiv220909073G</v>
      </c>
      <c r="C990" s="1" t="s">
        <v>70</v>
      </c>
      <c r="E990" s="2" t="str">
        <f>HYPERLINK("https://ui.adsabs.harvard.edu/abs/2022arXiv220909073G/abstract","2022arXiv220909073G")</f>
        <v>2022arXiv220909073G</v>
      </c>
      <c r="G990" s="1" t="s">
        <v>72</v>
      </c>
      <c r="H990" s="1">
        <v>0.9961402</v>
      </c>
      <c r="I990" s="1" t="s">
        <v>1041</v>
      </c>
    </row>
    <row r="991">
      <c r="A991" s="2" t="str">
        <f>HYPERLINK("https://ui.adsabs.harvard.edu/abs/2023CmPhy...6...13T/abstract","2023CmPhy...6...13T")</f>
        <v>2023CmPhy...6...13T</v>
      </c>
      <c r="B991" s="2" t="str">
        <f>HYPERLINK("https://ui.adsabs.harvard.edu/abs/2022arXiv221201230T/abstract","2022arXiv221201230T")</f>
        <v>2022arXiv221201230T</v>
      </c>
      <c r="C991" s="1" t="s">
        <v>70</v>
      </c>
      <c r="E991" s="2" t="str">
        <f>HYPERLINK("https://ui.adsabs.harvard.edu/abs/2022arXiv221201230T/abstract","2022arXiv221201230T")</f>
        <v>2022arXiv221201230T</v>
      </c>
      <c r="G991" s="1" t="s">
        <v>72</v>
      </c>
      <c r="H991" s="1">
        <v>0.9961402</v>
      </c>
      <c r="I991" s="1" t="s">
        <v>1041</v>
      </c>
    </row>
    <row r="992">
      <c r="A992" s="2" t="str">
        <f>HYPERLINK("https://ui.adsabs.harvard.edu/abs/2023JInst..18C1023N/abstract","2023JInst..18C1023N")</f>
        <v>2023JInst..18C1023N</v>
      </c>
      <c r="B992" s="2" t="str">
        <f>HYPERLINK("https://ui.adsabs.harvard.edu/abs/2022arXiv221013713N/abstract","2022arXiv221013713N")</f>
        <v>2022arXiv221013713N</v>
      </c>
      <c r="C992" s="1" t="s">
        <v>70</v>
      </c>
      <c r="E992" s="2" t="str">
        <f>HYPERLINK("https://ui.adsabs.harvard.edu/abs/2022arXiv221013713N/abstract","2022arXiv221013713N")</f>
        <v>2022arXiv221013713N</v>
      </c>
      <c r="G992" s="1" t="s">
        <v>72</v>
      </c>
      <c r="H992" s="1">
        <v>0.9961402</v>
      </c>
      <c r="I992" s="1" t="s">
        <v>1041</v>
      </c>
    </row>
    <row r="993">
      <c r="A993" s="2" t="str">
        <f>HYPERLINK("https://ui.adsabs.harvard.edu/abs/2023EL....14122003T/abstract","2023EL....14122003T")</f>
        <v>2023EL....14122003T</v>
      </c>
      <c r="B993" s="2" t="str">
        <f>HYPERLINK("https://ui.adsabs.harvard.edu/abs/2022arXiv221116060T/abstract","2022arXiv221116060T")</f>
        <v>2022arXiv221116060T</v>
      </c>
      <c r="C993" s="1" t="s">
        <v>70</v>
      </c>
      <c r="E993" s="2" t="str">
        <f>HYPERLINK("https://ui.adsabs.harvard.edu/abs/2022arXiv221116060T/abstract","2022arXiv221116060T")</f>
        <v>2022arXiv221116060T</v>
      </c>
      <c r="G993" s="1" t="s">
        <v>72</v>
      </c>
      <c r="H993" s="1">
        <v>0.9961402</v>
      </c>
      <c r="I993" s="1" t="s">
        <v>1041</v>
      </c>
    </row>
    <row r="994">
      <c r="A994" s="2" t="str">
        <f>HYPERLINK("https://ui.adsabs.harvard.edu/abs/2023EL....14127001K/abstract","2023EL....14127001K")</f>
        <v>2023EL....14127001K</v>
      </c>
      <c r="B994" s="2" t="str">
        <f>HYPERLINK("https://ui.adsabs.harvard.edu/abs/2022arXiv220903818K/abstract","2022arXiv220903818K")</f>
        <v>2022arXiv220903818K</v>
      </c>
      <c r="C994" s="1" t="s">
        <v>70</v>
      </c>
      <c r="E994" s="2" t="str">
        <f>HYPERLINK("https://ui.adsabs.harvard.edu/abs/2022arXiv220903818K/abstract","2022arXiv220903818K")</f>
        <v>2022arXiv220903818K</v>
      </c>
      <c r="G994" s="1" t="s">
        <v>72</v>
      </c>
      <c r="H994" s="1">
        <v>0.9961402</v>
      </c>
      <c r="I994" s="1" t="s">
        <v>1041</v>
      </c>
    </row>
    <row r="995">
      <c r="A995" s="2" t="str">
        <f>HYPERLINK("https://ui.adsabs.harvard.edu/abs/2023EL....14129002D/abstract","2023EL....14129002D")</f>
        <v>2023EL....14129002D</v>
      </c>
      <c r="B995" s="2" t="str">
        <f>HYPERLINK("https://ui.adsabs.harvard.edu/abs/2023arXiv230102472D/abstract","2023arXiv230102472D")</f>
        <v>2023arXiv230102472D</v>
      </c>
      <c r="C995" s="1" t="s">
        <v>70</v>
      </c>
      <c r="E995" s="2" t="str">
        <f>HYPERLINK("https://ui.adsabs.harvard.edu/abs/2023arXiv230102472D/abstract","2023arXiv230102472D")</f>
        <v>2023arXiv230102472D</v>
      </c>
      <c r="G995" s="1" t="s">
        <v>72</v>
      </c>
      <c r="H995" s="1">
        <v>0.9961402</v>
      </c>
      <c r="I995" s="1" t="s">
        <v>1041</v>
      </c>
    </row>
    <row r="996">
      <c r="A996" s="2" t="str">
        <f>HYPERLINK("https://ui.adsabs.harvard.edu/abs/2023JPhA...56a5002B/abstract","2023JPhA...56a5002B")</f>
        <v>2023JPhA...56a5002B</v>
      </c>
      <c r="B996" s="2" t="str">
        <f>HYPERLINK("https://ui.adsabs.harvard.edu/abs/2023arXiv230103623B/abstract","2023arXiv230103623B")</f>
        <v>2023arXiv230103623B</v>
      </c>
      <c r="C996" s="1" t="s">
        <v>70</v>
      </c>
      <c r="E996" s="2" t="str">
        <f>HYPERLINK("https://ui.adsabs.harvard.edu/abs/2023arXiv230103623B/abstract","2023arXiv230103623B")</f>
        <v>2023arXiv230103623B</v>
      </c>
      <c r="G996" s="1" t="s">
        <v>72</v>
      </c>
      <c r="H996" s="1">
        <v>0.9961402</v>
      </c>
      <c r="I996" s="1" t="s">
        <v>1041</v>
      </c>
    </row>
    <row r="997">
      <c r="A997" s="2" t="str">
        <f>HYPERLINK("https://ui.adsabs.harvard.edu/abs/2023JAP...133c3901T/abstract","2023JAP...133c3901T")</f>
        <v>2023JAP...133c3901T</v>
      </c>
      <c r="B997" s="2" t="str">
        <f>HYPERLINK("https://ui.adsabs.harvard.edu/abs/2023arXiv230107604T/abstract","2023arXiv230107604T")</f>
        <v>2023arXiv230107604T</v>
      </c>
      <c r="C997" s="1" t="s">
        <v>70</v>
      </c>
      <c r="E997" s="2" t="str">
        <f>HYPERLINK("https://ui.adsabs.harvard.edu/abs/2023arXiv230107604T/abstract","2023arXiv230107604T")</f>
        <v>2023arXiv230107604T</v>
      </c>
      <c r="G997" s="1" t="s">
        <v>72</v>
      </c>
      <c r="H997" s="1">
        <v>0.9961402</v>
      </c>
      <c r="I997" s="1" t="s">
        <v>1041</v>
      </c>
    </row>
    <row r="998">
      <c r="A998" s="2" t="str">
        <f>HYPERLINK("https://ui.adsabs.harvard.edu/abs/2023JAP...133c3902D/abstract","2023JAP...133c3902D")</f>
        <v>2023JAP...133c3902D</v>
      </c>
      <c r="B998" s="2" t="str">
        <f>HYPERLINK("https://ui.adsabs.harvard.edu/abs/2022arXiv221016564D/abstract","2022arXiv221016564D")</f>
        <v>2022arXiv221016564D</v>
      </c>
      <c r="C998" s="1" t="s">
        <v>70</v>
      </c>
      <c r="E998" s="2" t="str">
        <f>HYPERLINK("https://ui.adsabs.harvard.edu/abs/2022arXiv221016564D/abstract","2022arXiv221016564D")</f>
        <v>2022arXiv221016564D</v>
      </c>
      <c r="G998" s="1" t="s">
        <v>72</v>
      </c>
      <c r="H998" s="1">
        <v>0.9961402</v>
      </c>
      <c r="I998" s="1" t="s">
        <v>1041</v>
      </c>
    </row>
    <row r="999">
      <c r="A999" s="2" t="str">
        <f>HYPERLINK("https://ui.adsabs.harvard.edu/abs/2023JMPSo.17305201R/abstract","2023JMPSo.17305201R")</f>
        <v>2023JMPSo.17305201R</v>
      </c>
      <c r="B999" s="2" t="str">
        <f>HYPERLINK("https://ui.adsabs.harvard.edu/abs/2023arXiv230104957R/abstract","2023arXiv230104957R")</f>
        <v>2023arXiv230104957R</v>
      </c>
      <c r="C999" s="1" t="s">
        <v>70</v>
      </c>
      <c r="E999" s="2" t="str">
        <f>HYPERLINK("https://ui.adsabs.harvard.edu/abs/2023arXiv230104957R/abstract","2023arXiv230104957R")</f>
        <v>2023arXiv230104957R</v>
      </c>
      <c r="G999" s="1" t="s">
        <v>72</v>
      </c>
      <c r="H999" s="1">
        <v>0.9961402</v>
      </c>
      <c r="I999" s="1" t="s">
        <v>1041</v>
      </c>
    </row>
    <row r="1000">
      <c r="A1000" s="2" t="str">
        <f>HYPERLINK("https://ui.adsabs.harvard.edu/abs/2023PhLB..83837666L/abstract","2023PhLB..83837666L")</f>
        <v>2023PhLB..83837666L</v>
      </c>
      <c r="B1000" s="2" t="str">
        <f>HYPERLINK("https://ui.adsabs.harvard.edu/abs/2022arXiv220706749L/abstract","2022arXiv220706749L")</f>
        <v>2022arXiv220706749L</v>
      </c>
      <c r="C1000" s="1" t="s">
        <v>70</v>
      </c>
      <c r="E1000" s="2" t="str">
        <f>HYPERLINK("https://ui.adsabs.harvard.edu/abs/2022arXiv220706749L/abstract","2022arXiv220706749L")</f>
        <v>2022arXiv220706749L</v>
      </c>
      <c r="G1000" s="1" t="s">
        <v>72</v>
      </c>
      <c r="H1000" s="1">
        <v>0.9961402</v>
      </c>
      <c r="I1000" s="1" t="s">
        <v>1041</v>
      </c>
    </row>
    <row r="1001">
      <c r="A1001" s="2" t="str">
        <f>HYPERLINK("https://ui.adsabs.harvard.edu/abs/2023PhyA..61228485S/abstract","2023PhyA..61228485S")</f>
        <v>2023PhyA..61228485S</v>
      </c>
      <c r="B1001" s="2" t="str">
        <f>HYPERLINK("https://ui.adsabs.harvard.edu/abs/2022arXiv221211208S/abstract","2022arXiv221211208S")</f>
        <v>2022arXiv221211208S</v>
      </c>
      <c r="C1001" s="1" t="s">
        <v>70</v>
      </c>
      <c r="E1001" s="2" t="str">
        <f>HYPERLINK("https://ui.adsabs.harvard.edu/abs/2022arXiv221211208S/abstract","2022arXiv221211208S")</f>
        <v>2022arXiv221211208S</v>
      </c>
      <c r="G1001" s="1" t="s">
        <v>72</v>
      </c>
      <c r="H1001" s="1">
        <v>0.9961402</v>
      </c>
      <c r="I1001" s="1" t="s">
        <v>1041</v>
      </c>
    </row>
    <row r="1002">
      <c r="A1002" s="2" t="str">
        <f>HYPERLINK("https://ui.adsabs.harvard.edu/abs/2023NuPhB.98716082E/abstract","2023NuPhB.98716082E")</f>
        <v>2023NuPhB.98716082E</v>
      </c>
      <c r="B1002" s="2" t="str">
        <f>HYPERLINK("https://ui.adsabs.harvard.edu/abs/2023arXiv230107689E/abstract","2023arXiv230107689E")</f>
        <v>2023arXiv230107689E</v>
      </c>
      <c r="C1002" s="1" t="s">
        <v>70</v>
      </c>
      <c r="E1002" s="2" t="str">
        <f>HYPERLINK("https://ui.adsabs.harvard.edu/abs/2023arXiv230107689E/abstract","2023arXiv230107689E")</f>
        <v>2023arXiv230107689E</v>
      </c>
      <c r="G1002" s="1" t="s">
        <v>72</v>
      </c>
      <c r="H1002" s="1">
        <v>0.9961402</v>
      </c>
      <c r="I1002" s="1" t="s">
        <v>1041</v>
      </c>
    </row>
    <row r="1003">
      <c r="A1003" s="2" t="str">
        <f>HYPERLINK("https://ui.adsabs.harvard.edu/abs/2023NuPhB.98716084D/abstract","2023NuPhB.98716084D")</f>
        <v>2023NuPhB.98716084D</v>
      </c>
      <c r="B1003" s="2" t="str">
        <f>HYPERLINK("https://ui.adsabs.harvard.edu/abs/2022arXiv221008887D/abstract","2022arXiv221008887D")</f>
        <v>2022arXiv221008887D</v>
      </c>
      <c r="C1003" s="1" t="s">
        <v>70</v>
      </c>
      <c r="E1003" s="2" t="str">
        <f>HYPERLINK("https://ui.adsabs.harvard.edu/abs/2022arXiv221008887D/abstract","2022arXiv221008887D")</f>
        <v>2022arXiv221008887D</v>
      </c>
      <c r="G1003" s="1" t="s">
        <v>72</v>
      </c>
      <c r="H1003" s="1">
        <v>0.9961402</v>
      </c>
      <c r="I1003" s="1" t="s">
        <v>1041</v>
      </c>
    </row>
    <row r="1004">
      <c r="A1004" s="2" t="str">
        <f>HYPERLINK("https://ui.adsabs.harvard.edu/abs/2023AcMat.24618695B/abstract","2023AcMat.24618695B")</f>
        <v>2023AcMat.24618695B</v>
      </c>
      <c r="B1004" s="2" t="str">
        <f>HYPERLINK("https://ui.adsabs.harvard.edu/abs/2023arXiv230103934B/abstract","2023arXiv230103934B")</f>
        <v>2023arXiv230103934B</v>
      </c>
      <c r="C1004" s="1" t="s">
        <v>70</v>
      </c>
      <c r="E1004" s="2" t="str">
        <f>HYPERLINK("https://ui.adsabs.harvard.edu/abs/2023arXiv230103934B/abstract","2023arXiv230103934B")</f>
        <v>2023arXiv230103934B</v>
      </c>
      <c r="G1004" s="1" t="s">
        <v>72</v>
      </c>
      <c r="H1004" s="1">
        <v>0.9961402</v>
      </c>
      <c r="I1004" s="1" t="s">
        <v>1041</v>
      </c>
    </row>
    <row r="1005">
      <c r="A1005" s="2" t="str">
        <f>HYPERLINK("https://ui.adsabs.harvard.edu/abs/2023PhRvA.107a3514Z/abstract","2023PhRvA.107a3514Z")</f>
        <v>2023PhRvA.107a3514Z</v>
      </c>
      <c r="B1005" s="2" t="str">
        <f>HYPERLINK("https://ui.adsabs.harvard.edu/abs/2023arXiv230108603Z/abstract","2023arXiv230108603Z")</f>
        <v>2023arXiv230108603Z</v>
      </c>
      <c r="C1005" s="1" t="s">
        <v>70</v>
      </c>
      <c r="E1005" s="2" t="str">
        <f>HYPERLINK("https://ui.adsabs.harvard.edu/abs/2023arXiv230108603Z/abstract","2023arXiv230108603Z")</f>
        <v>2023arXiv230108603Z</v>
      </c>
      <c r="G1005" s="1" t="s">
        <v>72</v>
      </c>
      <c r="H1005" s="1">
        <v>0.9961402</v>
      </c>
      <c r="I1005" s="1" t="s">
        <v>1041</v>
      </c>
    </row>
    <row r="1006">
      <c r="A1006" s="2" t="str">
        <f>HYPERLINK("https://ui.adsabs.harvard.edu/abs/2023PhRvA.107a3516N/abstract","2023PhRvA.107a3516N")</f>
        <v>2023PhRvA.107a3516N</v>
      </c>
      <c r="B1006" s="2" t="str">
        <f>HYPERLINK("https://ui.adsabs.harvard.edu/abs/2023arXiv230105404N/abstract","2023arXiv230105404N")</f>
        <v>2023arXiv230105404N</v>
      </c>
      <c r="C1006" s="1" t="s">
        <v>70</v>
      </c>
      <c r="E1006" s="2" t="str">
        <f>HYPERLINK("https://ui.adsabs.harvard.edu/abs/2023arXiv230105404N/abstract","2023arXiv230105404N")</f>
        <v>2023arXiv230105404N</v>
      </c>
      <c r="G1006" s="1" t="s">
        <v>72</v>
      </c>
      <c r="H1006" s="1">
        <v>0.9961402</v>
      </c>
      <c r="I1006" s="1" t="s">
        <v>1041</v>
      </c>
    </row>
    <row r="1007">
      <c r="A1007" s="2" t="str">
        <f>HYPERLINK("https://ui.adsabs.harvard.edu/abs/2023PhRvB.107a4203T/abstract","2023PhRvB.107a4203T")</f>
        <v>2023PhRvB.107a4203T</v>
      </c>
      <c r="B1007" s="2" t="str">
        <f>HYPERLINK("https://ui.adsabs.harvard.edu/abs/2022arXiv220705051T/abstract","2022arXiv220705051T")</f>
        <v>2022arXiv220705051T</v>
      </c>
      <c r="C1007" s="1" t="s">
        <v>70</v>
      </c>
      <c r="E1007" s="2" t="str">
        <f>HYPERLINK("https://ui.adsabs.harvard.edu/abs/2022arXiv220705051T/abstract","2022arXiv220705051T")</f>
        <v>2022arXiv220705051T</v>
      </c>
      <c r="G1007" s="1" t="s">
        <v>72</v>
      </c>
      <c r="H1007" s="1">
        <v>0.9961402</v>
      </c>
      <c r="I1007" s="1" t="s">
        <v>1041</v>
      </c>
    </row>
    <row r="1008">
      <c r="A1008" s="2" t="str">
        <f>HYPERLINK("https://ui.adsabs.harvard.edu/abs/2023PhRvB.107a4306H/abstract","2023PhRvB.107a4306H")</f>
        <v>2023PhRvB.107a4306H</v>
      </c>
      <c r="B1008" s="2" t="str">
        <f>HYPERLINK("https://ui.adsabs.harvard.edu/abs/2022arXiv220702165H/abstract","2022arXiv220702165H")</f>
        <v>2022arXiv220702165H</v>
      </c>
      <c r="C1008" s="1" t="s">
        <v>70</v>
      </c>
      <c r="E1008" s="2" t="str">
        <f>HYPERLINK("https://ui.adsabs.harvard.edu/abs/2022arXiv220702165H/abstract","2022arXiv220702165H")</f>
        <v>2022arXiv220702165H</v>
      </c>
      <c r="G1008" s="1" t="s">
        <v>72</v>
      </c>
      <c r="H1008" s="1">
        <v>0.9961402</v>
      </c>
      <c r="I1008" s="1" t="s">
        <v>1041</v>
      </c>
    </row>
    <row r="1009">
      <c r="A1009" s="2" t="str">
        <f>HYPERLINK("https://ui.adsabs.harvard.edu/abs/2023PhRvB.107c5122Y/abstract","2023PhRvB.107c5122Y")</f>
        <v>2023PhRvB.107c5122Y</v>
      </c>
      <c r="B1009" s="2" t="str">
        <f>HYPERLINK("https://ui.adsabs.harvard.edu/abs/2022arXiv220902504Y/abstract","2022arXiv220902504Y")</f>
        <v>2022arXiv220902504Y</v>
      </c>
      <c r="C1009" s="1" t="s">
        <v>70</v>
      </c>
      <c r="E1009" s="2" t="str">
        <f>HYPERLINK("https://ui.adsabs.harvard.edu/abs/2022arXiv220902504Y/abstract","2022arXiv220902504Y")</f>
        <v>2022arXiv220902504Y</v>
      </c>
      <c r="G1009" s="1" t="s">
        <v>72</v>
      </c>
      <c r="H1009" s="1">
        <v>0.9961402</v>
      </c>
      <c r="I1009" s="1" t="s">
        <v>1041</v>
      </c>
    </row>
    <row r="1010">
      <c r="A1010" s="2" t="str">
        <f>HYPERLINK("https://ui.adsabs.harvard.edu/abs/2023PhRvB.107c5129H/abstract","2023PhRvB.107c5129H")</f>
        <v>2023PhRvB.107c5129H</v>
      </c>
      <c r="B1010" s="2" t="str">
        <f>HYPERLINK("https://ui.adsabs.harvard.edu/abs/2022arXiv220515339H/abstract","2022arXiv220515339H")</f>
        <v>2022arXiv220515339H</v>
      </c>
      <c r="C1010" s="1" t="s">
        <v>70</v>
      </c>
      <c r="E1010" s="2" t="str">
        <f>HYPERLINK("https://ui.adsabs.harvard.edu/abs/2022arXiv220515339H/abstract","2022arXiv220515339H")</f>
        <v>2022arXiv220515339H</v>
      </c>
      <c r="G1010" s="1" t="s">
        <v>72</v>
      </c>
      <c r="H1010" s="1">
        <v>0.9961402</v>
      </c>
      <c r="I1010" s="1" t="s">
        <v>1041</v>
      </c>
    </row>
    <row r="1011">
      <c r="A1011" s="2" t="str">
        <f>HYPERLINK("https://ui.adsabs.harvard.edu/abs/2023PhRvB.107c5132Y/abstract","2023PhRvB.107c5132Y")</f>
        <v>2023PhRvB.107c5132Y</v>
      </c>
      <c r="B1011" s="2" t="str">
        <f>HYPERLINK("https://ui.adsabs.harvard.edu/abs/2022arXiv221014430Y/abstract","2022arXiv221014430Y")</f>
        <v>2022arXiv221014430Y</v>
      </c>
      <c r="C1011" s="1" t="s">
        <v>70</v>
      </c>
      <c r="E1011" s="2" t="str">
        <f>HYPERLINK("https://ui.adsabs.harvard.edu/abs/2022arXiv221014430Y/abstract","2022arXiv221014430Y")</f>
        <v>2022arXiv221014430Y</v>
      </c>
      <c r="G1011" s="1" t="s">
        <v>72</v>
      </c>
      <c r="H1011" s="1">
        <v>0.9961402</v>
      </c>
      <c r="I1011" s="1" t="s">
        <v>1041</v>
      </c>
    </row>
    <row r="1012">
      <c r="A1012" s="2" t="str">
        <f>HYPERLINK("https://ui.adsabs.harvard.edu/abs/2023PhRvB.107c5418W/abstract","2023PhRvB.107c5418W")</f>
        <v>2023PhRvB.107c5418W</v>
      </c>
      <c r="B1012" s="2" t="str">
        <f>HYPERLINK("https://ui.adsabs.harvard.edu/abs/2022arXiv221001700W/abstract","2022arXiv221001700W")</f>
        <v>2022arXiv221001700W</v>
      </c>
      <c r="C1012" s="1" t="s">
        <v>70</v>
      </c>
      <c r="E1012" s="2" t="str">
        <f>HYPERLINK("https://ui.adsabs.harvard.edu/abs/2022arXiv221001700W/abstract","2022arXiv221001700W")</f>
        <v>2022arXiv221001700W</v>
      </c>
      <c r="G1012" s="1" t="s">
        <v>72</v>
      </c>
      <c r="H1012" s="1">
        <v>0.9961402</v>
      </c>
      <c r="I1012" s="1" t="s">
        <v>1041</v>
      </c>
    </row>
    <row r="1013">
      <c r="A1013" s="2" t="str">
        <f>HYPERLINK("https://ui.adsabs.harvard.edu/abs/2023PhRvD.107a6010H/abstract","2023PhRvD.107a6010H")</f>
        <v>2023PhRvD.107a6010H</v>
      </c>
      <c r="B1013" s="2" t="str">
        <f>HYPERLINK("https://ui.adsabs.harvard.edu/abs/2022arXiv220515755H/abstract","2022arXiv220515755H")</f>
        <v>2022arXiv220515755H</v>
      </c>
      <c r="C1013" s="1" t="s">
        <v>70</v>
      </c>
      <c r="E1013" s="2" t="str">
        <f>HYPERLINK("https://ui.adsabs.harvard.edu/abs/2022arXiv220515755H/abstract","2022arXiv220515755H")</f>
        <v>2022arXiv220515755H</v>
      </c>
      <c r="G1013" s="1" t="s">
        <v>72</v>
      </c>
      <c r="H1013" s="1">
        <v>0.9961402</v>
      </c>
      <c r="I1013" s="1" t="s">
        <v>1041</v>
      </c>
    </row>
    <row r="1014">
      <c r="A1014" s="2" t="str">
        <f>HYPERLINK("https://ui.adsabs.harvard.edu/abs/2023PhRvD.107b3518G/abstract","2023PhRvD.107b3518G")</f>
        <v>2023PhRvD.107b3518G</v>
      </c>
      <c r="B1014" s="2" t="str">
        <f>HYPERLINK("https://ui.adsabs.harvard.edu/abs/2022arXiv220103596G/abstract","2022arXiv220103596G")</f>
        <v>2022arXiv220103596G</v>
      </c>
      <c r="C1014" s="1" t="s">
        <v>70</v>
      </c>
      <c r="E1014" s="2" t="str">
        <f>HYPERLINK("https://ui.adsabs.harvard.edu/abs/2022arXiv220103596G/abstract","2022arXiv220103596G")</f>
        <v>2022arXiv220103596G</v>
      </c>
      <c r="G1014" s="1" t="s">
        <v>72</v>
      </c>
      <c r="H1014" s="1">
        <v>0.9961402</v>
      </c>
      <c r="I1014" s="1" t="s">
        <v>1041</v>
      </c>
    </row>
    <row r="1015">
      <c r="A1015" s="2" t="str">
        <f>HYPERLINK("https://ui.adsabs.harvard.edu/abs/2023PhRvD.107b5009D/abstract","2023PhRvD.107b5009D")</f>
        <v>2023PhRvD.107b5009D</v>
      </c>
      <c r="B1015" s="2" t="str">
        <f>HYPERLINK("https://ui.adsabs.harvard.edu/abs/2022arXiv220812021D/abstract","2022arXiv220812021D")</f>
        <v>2022arXiv220812021D</v>
      </c>
      <c r="C1015" s="1" t="s">
        <v>70</v>
      </c>
      <c r="E1015" s="2" t="str">
        <f>HYPERLINK("https://ui.adsabs.harvard.edu/abs/2022arXiv220812021D/abstract","2022arXiv220812021D")</f>
        <v>2022arXiv220812021D</v>
      </c>
      <c r="G1015" s="1" t="s">
        <v>72</v>
      </c>
      <c r="H1015" s="1">
        <v>0.9961402</v>
      </c>
      <c r="I1015" s="1" t="s">
        <v>1041</v>
      </c>
    </row>
    <row r="1016">
      <c r="A1016" s="2" t="str">
        <f>HYPERLINK("https://ui.adsabs.harvard.edu/abs/2023PhRvE.107a4123S/abstract","2023PhRvE.107a4123S")</f>
        <v>2023PhRvE.107a4123S</v>
      </c>
      <c r="B1016" s="2" t="str">
        <f>HYPERLINK("https://ui.adsabs.harvard.edu/abs/2022arXiv221009035S/abstract","2022arXiv221009035S")</f>
        <v>2022arXiv221009035S</v>
      </c>
      <c r="C1016" s="1" t="s">
        <v>70</v>
      </c>
      <c r="E1016" s="2" t="str">
        <f>HYPERLINK("https://ui.adsabs.harvard.edu/abs/2022arXiv221009035S/abstract","2022arXiv221009035S")</f>
        <v>2022arXiv221009035S</v>
      </c>
      <c r="G1016" s="1" t="s">
        <v>72</v>
      </c>
      <c r="H1016" s="1">
        <v>0.9961402</v>
      </c>
      <c r="I1016" s="1" t="s">
        <v>1041</v>
      </c>
    </row>
    <row r="1017">
      <c r="A1017" s="2" t="str">
        <f>HYPERLINK("https://ui.adsabs.harvard.edu/abs/2023PhRvR...5a3017Y/abstract","2023PhRvR...5a3017Y")</f>
        <v>2023PhRvR...5a3017Y</v>
      </c>
      <c r="B1017" s="2" t="str">
        <f>HYPERLINK("https://ui.adsabs.harvard.edu/abs/2022arXiv220515227Y/abstract","2022arXiv220515227Y")</f>
        <v>2022arXiv220515227Y</v>
      </c>
      <c r="C1017" s="1" t="s">
        <v>70</v>
      </c>
      <c r="E1017" s="2" t="str">
        <f>HYPERLINK("https://ui.adsabs.harvard.edu/abs/2022arXiv220515227Y/abstract","2022arXiv220515227Y")</f>
        <v>2022arXiv220515227Y</v>
      </c>
      <c r="G1017" s="1" t="s">
        <v>72</v>
      </c>
      <c r="H1017" s="1">
        <v>0.9961402</v>
      </c>
      <c r="I1017" s="1" t="s">
        <v>1041</v>
      </c>
    </row>
    <row r="1018">
      <c r="A1018" s="2" t="str">
        <f>HYPERLINK("https://ui.adsabs.harvard.edu/abs/2023PhRvR...5a3029G/abstract","2023PhRvR...5a3029G")</f>
        <v>2023PhRvR...5a3029G</v>
      </c>
      <c r="B1018" s="2" t="str">
        <f>HYPERLINK("https://ui.adsabs.harvard.edu/abs/2022arXiv221001829G/abstract","2022arXiv221001829G")</f>
        <v>2022arXiv221001829G</v>
      </c>
      <c r="C1018" s="1" t="s">
        <v>70</v>
      </c>
      <c r="E1018" s="2" t="str">
        <f>HYPERLINK("https://ui.adsabs.harvard.edu/abs/2022arXiv221001829G/abstract","2022arXiv221001829G")</f>
        <v>2022arXiv221001829G</v>
      </c>
      <c r="G1018" s="1" t="s">
        <v>72</v>
      </c>
      <c r="H1018" s="1">
        <v>0.9961402</v>
      </c>
      <c r="I1018" s="1" t="s">
        <v>1041</v>
      </c>
    </row>
    <row r="1019">
      <c r="A1019" s="2" t="str">
        <f>HYPERLINK("https://ui.adsabs.harvard.edu/abs/2023PhRvR...5a3031H/abstract","2023PhRvR...5a3031H")</f>
        <v>2023PhRvR...5a3031H</v>
      </c>
      <c r="B1019" s="2" t="str">
        <f>HYPERLINK("https://ui.adsabs.harvard.edu/abs/2022arXiv220903196H/abstract","2022arXiv220903196H")</f>
        <v>2022arXiv220903196H</v>
      </c>
      <c r="C1019" s="1" t="s">
        <v>70</v>
      </c>
      <c r="E1019" s="2" t="str">
        <f>HYPERLINK("https://ui.adsabs.harvard.edu/abs/2022arXiv220903196H/abstract","2022arXiv220903196H")</f>
        <v>2022arXiv220903196H</v>
      </c>
      <c r="G1019" s="1" t="s">
        <v>72</v>
      </c>
      <c r="H1019" s="1">
        <v>0.9961402</v>
      </c>
      <c r="I1019" s="1" t="s">
        <v>1041</v>
      </c>
    </row>
    <row r="1020">
      <c r="A1020" s="2" t="str">
        <f>HYPERLINK("https://ui.adsabs.harvard.edu/abs/2023Entrp..25..197T/abstract","2023Entrp..25..197T")</f>
        <v>2023Entrp..25..197T</v>
      </c>
      <c r="B1020" s="2" t="str">
        <f>HYPERLINK("https://ui.adsabs.harvard.edu/abs/2022arXiv220714185T/abstract","2022arXiv220714185T")</f>
        <v>2022arXiv220714185T</v>
      </c>
      <c r="C1020" s="1" t="s">
        <v>70</v>
      </c>
      <c r="E1020" s="2" t="str">
        <f>HYPERLINK("https://ui.adsabs.harvard.edu/abs/2022arXiv220714185T/abstract","2022arXiv220714185T")</f>
        <v>2022arXiv220714185T</v>
      </c>
      <c r="G1020" s="1" t="s">
        <v>72</v>
      </c>
      <c r="H1020" s="1">
        <v>0.9961402</v>
      </c>
      <c r="I1020" s="1" t="s">
        <v>1041</v>
      </c>
    </row>
    <row r="1021">
      <c r="A1021" s="2" t="str">
        <f>HYPERLINK("https://ui.adsabs.harvard.edu/abs/2023FrP....1092065B/abstract","2023FrP....1092065B")</f>
        <v>2023FrP....1092065B</v>
      </c>
      <c r="B1021" s="2" t="str">
        <f>HYPERLINK("https://ui.adsabs.harvard.edu/abs/2022arXiv221100317B/abstract","2022arXiv221100317B")</f>
        <v>2022arXiv221100317B</v>
      </c>
      <c r="C1021" s="1" t="s">
        <v>70</v>
      </c>
      <c r="E1021" s="2" t="str">
        <f>HYPERLINK("https://ui.adsabs.harvard.edu/abs/2022arXiv221100317B/abstract","2022arXiv221100317B")</f>
        <v>2022arXiv221100317B</v>
      </c>
      <c r="G1021" s="1" t="s">
        <v>72</v>
      </c>
      <c r="H1021" s="1">
        <v>0.9961402</v>
      </c>
      <c r="I1021" s="1" t="s">
        <v>1041</v>
      </c>
    </row>
    <row r="1022">
      <c r="A1022" s="2" t="str">
        <f>HYPERLINK("https://ui.adsabs.harvard.edu/abs/2023PCCP...25.1937K/abstract","2023PCCP...25.1937K")</f>
        <v>2023PCCP...25.1937K</v>
      </c>
      <c r="B1022" s="2" t="str">
        <f>HYPERLINK("https://ui.adsabs.harvard.edu/abs/2022arXiv221203626K/abstract","2022arXiv221203626K")</f>
        <v>2022arXiv221203626K</v>
      </c>
      <c r="C1022" s="1" t="s">
        <v>70</v>
      </c>
      <c r="E1022" s="2" t="str">
        <f>HYPERLINK("https://ui.adsabs.harvard.edu/abs/2022arXiv221203626K/abstract","2022arXiv221203626K")</f>
        <v>2022arXiv221203626K</v>
      </c>
      <c r="G1022" s="1" t="s">
        <v>72</v>
      </c>
      <c r="H1022" s="1">
        <v>0.9961402</v>
      </c>
      <c r="I1022" s="1" t="s">
        <v>1041</v>
      </c>
    </row>
    <row r="1023">
      <c r="A1023" s="2" t="str">
        <f>HYPERLINK("https://ui.adsabs.harvard.edu/abs/2023Physi...5...90A/abstract","2023Physi...5...90A")</f>
        <v>2023Physi...5...90A</v>
      </c>
      <c r="B1023" s="2" t="str">
        <f>HYPERLINK("https://ui.adsabs.harvard.edu/abs/2023arXiv230109448A/abstract","2023arXiv230109448A")</f>
        <v>2023arXiv230109448A</v>
      </c>
      <c r="C1023" s="1" t="s">
        <v>70</v>
      </c>
      <c r="E1023" s="2" t="str">
        <f>HYPERLINK("https://ui.adsabs.harvard.edu/abs/2023arXiv230109448A/abstract","2023arXiv230109448A")</f>
        <v>2023arXiv230109448A</v>
      </c>
      <c r="G1023" s="1" t="s">
        <v>72</v>
      </c>
      <c r="H1023" s="1">
        <v>0.9961402</v>
      </c>
      <c r="I1023" s="1" t="s">
        <v>1041</v>
      </c>
    </row>
    <row r="1024">
      <c r="A1024" s="2" t="str">
        <f>HYPERLINK("https://ui.adsabs.harvard.edu/abs/2017Quant...1....2Y/abstract","2017Quant...1....2Y")</f>
        <v>2017Quant...1....2Y</v>
      </c>
      <c r="B1024" s="2" t="str">
        <f>HYPERLINK("https://ui.adsabs.harvard.edu/abs/2016arXiv161204795Y/abstract","2016arXiv161204795Y")</f>
        <v>2016arXiv161204795Y</v>
      </c>
      <c r="C1024" s="1" t="s">
        <v>70</v>
      </c>
      <c r="E1024" s="2" t="str">
        <f>HYPERLINK("https://ui.adsabs.harvard.edu/abs/2016arXiv161204795Y/abstract","2016arXiv161204795Y")</f>
        <v>2016arXiv161204795Y</v>
      </c>
      <c r="G1024" s="1" t="s">
        <v>72</v>
      </c>
      <c r="H1024" s="1">
        <v>0.9961402</v>
      </c>
      <c r="I1024" s="1" t="s">
        <v>1041</v>
      </c>
    </row>
    <row r="1025">
      <c r="A1025" s="2" t="str">
        <f>HYPERLINK("https://ui.adsabs.harvard.edu/abs/2017Quant...1....4F/abstract","2017Quant...1....4F")</f>
        <v>2017Quant...1....4F</v>
      </c>
      <c r="B1025" s="2" t="str">
        <f>HYPERLINK("https://ui.adsabs.harvard.edu/abs/2016arXiv161006169F/abstract","2016arXiv161006169F")</f>
        <v>2016arXiv161006169F</v>
      </c>
      <c r="C1025" s="1" t="s">
        <v>70</v>
      </c>
      <c r="E1025" s="2" t="str">
        <f>HYPERLINK("https://ui.adsabs.harvard.edu/abs/2016arXiv161006169F/abstract","2016arXiv161006169F")</f>
        <v>2016arXiv161006169F</v>
      </c>
      <c r="G1025" s="1" t="s">
        <v>72</v>
      </c>
      <c r="H1025" s="1">
        <v>0.9961402</v>
      </c>
      <c r="I1025" s="1" t="s">
        <v>1041</v>
      </c>
    </row>
    <row r="1026">
      <c r="A1026" s="2" t="str">
        <f>HYPERLINK("https://ui.adsabs.harvard.edu/abs/2017Quant...1....5G/abstract","2017Quant...1....5G")</f>
        <v>2017Quant...1....5G</v>
      </c>
      <c r="B1026" s="2" t="str">
        <f>HYPERLINK("https://ui.adsabs.harvard.edu/abs/2016arXiv161000336G/abstract","2016arXiv161000336G")</f>
        <v>2016arXiv161000336G</v>
      </c>
      <c r="C1026" s="1" t="s">
        <v>70</v>
      </c>
      <c r="E1026" s="2" t="str">
        <f>HYPERLINK("https://ui.adsabs.harvard.edu/abs/2016arXiv161000336G/abstract","2016arXiv161000336G")</f>
        <v>2016arXiv161000336G</v>
      </c>
      <c r="G1026" s="1" t="s">
        <v>72</v>
      </c>
      <c r="H1026" s="1">
        <v>0.9961402</v>
      </c>
      <c r="I1026" s="1" t="s">
        <v>1041</v>
      </c>
    </row>
    <row r="1027">
      <c r="A1027" s="2" t="str">
        <f>HYPERLINK("https://ui.adsabs.harvard.edu/abs/2017Quant...1....7D/abstract","2017Quant...1....7D")</f>
        <v>2017Quant...1....7D</v>
      </c>
      <c r="B1027" s="2" t="str">
        <f>HYPERLINK("https://ui.adsabs.harvard.edu/abs/2016arXiv161108542D/abstract","2016arXiv161108542D")</f>
        <v>2016arXiv161108542D</v>
      </c>
      <c r="C1027" s="1" t="s">
        <v>70</v>
      </c>
      <c r="E1027" s="2" t="str">
        <f>HYPERLINK("https://ui.adsabs.harvard.edu/abs/2016arXiv161108542D/abstract","2016arXiv161108542D")</f>
        <v>2016arXiv161108542D</v>
      </c>
      <c r="G1027" s="1" t="s">
        <v>72</v>
      </c>
      <c r="H1027" s="1">
        <v>0.9961402</v>
      </c>
      <c r="I1027" s="1" t="s">
        <v>1041</v>
      </c>
    </row>
    <row r="1028">
      <c r="A1028" s="2" t="str">
        <f>HYPERLINK("https://ui.adsabs.harvard.edu/abs/2017Quant...1....8B/abstract","2017Quant...1....8B")</f>
        <v>2017Quant...1....8B</v>
      </c>
      <c r="B1028" s="2" t="str">
        <f>HYPERLINK("https://ui.adsabs.harvard.edu/abs/2016arXiv161001808B/abstract","2016arXiv161001808B")</f>
        <v>2016arXiv161001808B</v>
      </c>
      <c r="C1028" s="1" t="s">
        <v>70</v>
      </c>
      <c r="E1028" s="2" t="str">
        <f>HYPERLINK("https://ui.adsabs.harvard.edu/abs/2016arXiv161001808B/abstract","2016arXiv161001808B")</f>
        <v>2016arXiv161001808B</v>
      </c>
      <c r="G1028" s="1" t="s">
        <v>72</v>
      </c>
      <c r="H1028" s="1">
        <v>0.9961402</v>
      </c>
      <c r="I1028" s="1" t="s">
        <v>1041</v>
      </c>
    </row>
    <row r="1029">
      <c r="A1029" s="2" t="str">
        <f>HYPERLINK("https://ui.adsabs.harvard.edu/abs/2017Quant...1...15G/abstract","2017Quant...1...15G")</f>
        <v>2017Quant...1...15G</v>
      </c>
      <c r="B1029" s="2" t="str">
        <f>HYPERLINK("https://ui.adsabs.harvard.edu/abs/2016arXiv161004859G/abstract","2016arXiv161004859G")</f>
        <v>2016arXiv161004859G</v>
      </c>
      <c r="C1029" s="1" t="s">
        <v>70</v>
      </c>
      <c r="E1029" s="2" t="str">
        <f>HYPERLINK("https://ui.adsabs.harvard.edu/abs/2016arXiv161004859G/abstract","2016arXiv161004859G")</f>
        <v>2016arXiv161004859G</v>
      </c>
      <c r="G1029" s="1" t="s">
        <v>72</v>
      </c>
      <c r="H1029" s="1">
        <v>0.9961402</v>
      </c>
      <c r="I1029" s="1" t="s">
        <v>1041</v>
      </c>
    </row>
    <row r="1030">
      <c r="A1030" s="2" t="str">
        <f>HYPERLINK("https://ui.adsabs.harvard.edu/abs/2017Quant...1...17G/abstract","2017Quant...1...17G")</f>
        <v>2017Quant...1...17G</v>
      </c>
      <c r="B1030" s="2" t="str">
        <f>HYPERLINK("https://ui.adsabs.harvard.edu/abs/2017arXiv170208413G/abstract","2017arXiv170208413G")</f>
        <v>2017arXiv170208413G</v>
      </c>
      <c r="C1030" s="1" t="s">
        <v>70</v>
      </c>
      <c r="E1030" s="2" t="str">
        <f>HYPERLINK("https://ui.adsabs.harvard.edu/abs/2017arXiv170208413G/abstract","2017arXiv170208413G")</f>
        <v>2017arXiv170208413G</v>
      </c>
      <c r="G1030" s="1" t="s">
        <v>72</v>
      </c>
      <c r="H1030" s="1">
        <v>0.9961402</v>
      </c>
      <c r="I1030" s="1" t="s">
        <v>1041</v>
      </c>
    </row>
    <row r="1031">
      <c r="A1031" s="2" t="str">
        <f>HYPERLINK("https://ui.adsabs.harvard.edu/abs/2017Quant...1...19C/abstract","2017Quant...1...19C")</f>
        <v>2017Quant...1...19C</v>
      </c>
      <c r="B1031" s="2" t="str">
        <f>HYPERLINK("https://ui.adsabs.harvard.edu/abs/2016arXiv160805510C/abstract","2016arXiv160805510C")</f>
        <v>2016arXiv160805510C</v>
      </c>
      <c r="C1031" s="1" t="s">
        <v>70</v>
      </c>
      <c r="E1031" s="2" t="str">
        <f>HYPERLINK("https://ui.adsabs.harvard.edu/abs/2016arXiv160805510C/abstract","2016arXiv160805510C")</f>
        <v>2016arXiv160805510C</v>
      </c>
      <c r="G1031" s="1" t="s">
        <v>72</v>
      </c>
      <c r="H1031" s="1">
        <v>0.9961402</v>
      </c>
      <c r="I1031" s="1" t="s">
        <v>1041</v>
      </c>
    </row>
    <row r="1032">
      <c r="A1032" s="2" t="str">
        <f>HYPERLINK("https://ui.adsabs.harvard.edu/abs/2017Quant...1...20R/abstract","2017Quant...1...20R")</f>
        <v>2017Quant...1...20R</v>
      </c>
      <c r="B1032" s="2" t="str">
        <f>HYPERLINK("https://ui.adsabs.harvard.edu/abs/2016arXiv161202051R/abstract","2016arXiv161202051R")</f>
        <v>2016arXiv161202051R</v>
      </c>
      <c r="C1032" s="1" t="s">
        <v>70</v>
      </c>
      <c r="E1032" s="2" t="str">
        <f>HYPERLINK("https://ui.adsabs.harvard.edu/abs/2016arXiv161202051R/abstract","2016arXiv161202051R")</f>
        <v>2016arXiv161202051R</v>
      </c>
      <c r="G1032" s="1" t="s">
        <v>72</v>
      </c>
      <c r="H1032" s="1">
        <v>0.9961402</v>
      </c>
      <c r="I1032" s="1" t="s">
        <v>1041</v>
      </c>
    </row>
    <row r="1033">
      <c r="A1033" s="2" t="str">
        <f>HYPERLINK("https://ui.adsabs.harvard.edu/abs/2017Quant...1...23C/abstract","2017Quant...1...23C")</f>
        <v>2017Quant...1...23C</v>
      </c>
      <c r="B1033" s="2" t="str">
        <f>HYPERLINK("https://ui.adsabs.harvard.edu/abs/2016arXiv160707666C/abstract","2016arXiv160707666C")</f>
        <v>2016arXiv160707666C</v>
      </c>
      <c r="C1033" s="1" t="s">
        <v>70</v>
      </c>
      <c r="E1033" s="2" t="str">
        <f>HYPERLINK("https://ui.adsabs.harvard.edu/abs/2016arXiv160707666C/abstract","2016arXiv160707666C")</f>
        <v>2016arXiv160707666C</v>
      </c>
      <c r="G1033" s="1" t="s">
        <v>72</v>
      </c>
      <c r="H1033" s="1">
        <v>0.9961402</v>
      </c>
      <c r="I1033" s="1" t="s">
        <v>1041</v>
      </c>
    </row>
    <row r="1034">
      <c r="A1034" s="2" t="str">
        <f>HYPERLINK("https://ui.adsabs.harvard.edu/abs/2017Quant...1...27S/abstract","2017Quant...1...27S")</f>
        <v>2017Quant...1...27S</v>
      </c>
      <c r="B1034" s="2" t="str">
        <f>HYPERLINK("https://ui.adsabs.harvard.edu/abs/2016arXiv160308944S/abstract","2016arXiv160308944S")</f>
        <v>2016arXiv160308944S</v>
      </c>
      <c r="C1034" s="1" t="s">
        <v>70</v>
      </c>
      <c r="E1034" s="2" t="str">
        <f>HYPERLINK("https://ui.adsabs.harvard.edu/abs/2016arXiv160308944S/abstract","2016arXiv160308944S")</f>
        <v>2016arXiv160308944S</v>
      </c>
      <c r="G1034" s="1" t="s">
        <v>72</v>
      </c>
      <c r="H1034" s="1">
        <v>0.9961402</v>
      </c>
      <c r="I1034" s="1" t="s">
        <v>1041</v>
      </c>
    </row>
    <row r="1035">
      <c r="A1035" s="2" t="str">
        <f>HYPERLINK("https://ui.adsabs.harvard.edu/abs/2017Quant...1...32H/abstract","2017Quant...1...32H")</f>
        <v>2017Quant...1...32H</v>
      </c>
      <c r="B1035" s="2" t="str">
        <f>HYPERLINK("https://ui.adsabs.harvard.edu/abs/2017arXiv170200998H/abstract","2017arXiv170200998H")</f>
        <v>2017arXiv170200998H</v>
      </c>
      <c r="C1035" s="1" t="s">
        <v>70</v>
      </c>
      <c r="E1035" s="2" t="str">
        <f>HYPERLINK("https://ui.adsabs.harvard.edu/abs/2017arXiv170200998H/abstract","2017arXiv170200998H")</f>
        <v>2017arXiv170200998H</v>
      </c>
      <c r="G1035" s="1" t="s">
        <v>72</v>
      </c>
      <c r="H1035" s="1">
        <v>0.9961402</v>
      </c>
      <c r="I1035" s="1" t="s">
        <v>1041</v>
      </c>
    </row>
    <row r="1036">
      <c r="A1036" s="2" t="str">
        <f>HYPERLINK("https://ui.adsabs.harvard.edu/abs/2017Quant...1...33V/abstract","2017Quant...1...33V")</f>
        <v>2017Quant...1...33V</v>
      </c>
      <c r="B1036" s="2" t="str">
        <f>HYPERLINK("https://ui.adsabs.harvard.edu/abs/2016arXiv161206828V/abstract","2016arXiv161206828V")</f>
        <v>2016arXiv161206828V</v>
      </c>
      <c r="C1036" s="1" t="s">
        <v>70</v>
      </c>
      <c r="E1036" s="2" t="str">
        <f>HYPERLINK("https://ui.adsabs.harvard.edu/abs/2016arXiv161206828V/abstract","2016arXiv161206828V")</f>
        <v>2016arXiv161206828V</v>
      </c>
      <c r="G1036" s="1" t="s">
        <v>72</v>
      </c>
      <c r="H1036" s="1">
        <v>0.9961402</v>
      </c>
      <c r="I1036" s="1" t="s">
        <v>1041</v>
      </c>
    </row>
    <row r="1037">
      <c r="A1037" s="2" t="str">
        <f>HYPERLINK("https://ui.adsabs.harvard.edu/abs/2017Quant...1...34S/abstract","2017Quant...1...34S")</f>
        <v>2017Quant...1...34S</v>
      </c>
      <c r="B1037" s="2" t="str">
        <f>HYPERLINK("https://ui.adsabs.harvard.edu/abs/2017arXiv170507053S/abstract","2017arXiv170507053S")</f>
        <v>2017arXiv170507053S</v>
      </c>
      <c r="C1037" s="1" t="s">
        <v>70</v>
      </c>
      <c r="E1037" s="2" t="str">
        <f>HYPERLINK("https://ui.adsabs.harvard.edu/abs/2017arXiv170507053S/abstract","2017arXiv170507053S")</f>
        <v>2017arXiv170507053S</v>
      </c>
      <c r="G1037" s="1" t="s">
        <v>72</v>
      </c>
      <c r="H1037" s="1">
        <v>0.9961402</v>
      </c>
      <c r="I1037" s="1" t="s">
        <v>1041</v>
      </c>
    </row>
    <row r="1038">
      <c r="A1038" s="2" t="str">
        <f>HYPERLINK("https://ui.adsabs.harvard.edu/abs/2017Quant...1...37N/abstract","2017Quant...1...37N")</f>
        <v>2017Quant...1...37N</v>
      </c>
      <c r="B1038" s="2" t="str">
        <f>HYPERLINK("https://ui.adsabs.harvard.edu/abs/2017arXiv170908353N/abstract","2017arXiv170908353N")</f>
        <v>2017arXiv170908353N</v>
      </c>
      <c r="C1038" s="1" t="s">
        <v>70</v>
      </c>
      <c r="E1038" s="2" t="str">
        <f>HYPERLINK("https://ui.adsabs.harvard.edu/abs/2017arXiv170908353N/abstract","2017arXiv170908353N")</f>
        <v>2017arXiv170908353N</v>
      </c>
      <c r="G1038" s="1" t="s">
        <v>72</v>
      </c>
      <c r="H1038" s="1">
        <v>0.9961402</v>
      </c>
      <c r="I1038" s="1" t="s">
        <v>1041</v>
      </c>
    </row>
    <row r="1039">
      <c r="A1039" s="2" t="str">
        <f>HYPERLINK("https://ui.adsabs.harvard.edu/abs/2018Quant...2...42V/abstract","2018Quant...2...42V")</f>
        <v>2018Quant...2...42V</v>
      </c>
      <c r="B1039" s="2" t="str">
        <f>HYPERLINK("https://ui.adsabs.harvard.edu/abs/2017arXiv170401583V/abstract","2017arXiv170401583V")</f>
        <v>2017arXiv170401583V</v>
      </c>
      <c r="C1039" s="1" t="s">
        <v>70</v>
      </c>
      <c r="E1039" s="2" t="str">
        <f>HYPERLINK("https://ui.adsabs.harvard.edu/abs/2017arXiv170401583V/abstract","2017arXiv170401583V")</f>
        <v>2017arXiv170401583V</v>
      </c>
      <c r="G1039" s="1" t="s">
        <v>72</v>
      </c>
      <c r="H1039" s="1">
        <v>0.9961402</v>
      </c>
      <c r="I1039" s="1" t="s">
        <v>1041</v>
      </c>
    </row>
    <row r="1040">
      <c r="A1040" s="2" t="str">
        <f>HYPERLINK("https://ui.adsabs.harvard.edu/abs/2018Quant...2...45T/abstract","2018Quant...2...45T")</f>
        <v>2018Quant...2...45T</v>
      </c>
      <c r="B1040" s="2" t="str">
        <f>HYPERLINK("https://ui.adsabs.harvard.edu/abs/2017arXiv170609423T/abstract","2017arXiv170609423T")</f>
        <v>2017arXiv170609423T</v>
      </c>
      <c r="C1040" s="1" t="s">
        <v>70</v>
      </c>
      <c r="E1040" s="2" t="str">
        <f>HYPERLINK("https://ui.adsabs.harvard.edu/abs/2017arXiv170609423T/abstract","2017arXiv170609423T")</f>
        <v>2017arXiv170609423T</v>
      </c>
      <c r="G1040" s="1" t="s">
        <v>72</v>
      </c>
      <c r="H1040" s="1">
        <v>0.9961402</v>
      </c>
      <c r="I1040" s="1" t="s">
        <v>1041</v>
      </c>
    </row>
    <row r="1041">
      <c r="A1041" s="2" t="str">
        <f>HYPERLINK("https://ui.adsabs.harvard.edu/abs/2018Quant...2...47W/abstract","2018Quant...2...47W")</f>
        <v>2018Quant...2...47W</v>
      </c>
      <c r="B1041" s="2" t="str">
        <f>HYPERLINK("https://ui.adsabs.harvard.edu/abs/2017arXiv170309835W/abstract","2017arXiv170309835W")</f>
        <v>2017arXiv170309835W</v>
      </c>
      <c r="C1041" s="1" t="s">
        <v>70</v>
      </c>
      <c r="E1041" s="2" t="str">
        <f>HYPERLINK("https://ui.adsabs.harvard.edu/abs/2017arXiv170309835W/abstract","2017arXiv170309835W")</f>
        <v>2017arXiv170309835W</v>
      </c>
      <c r="G1041" s="1" t="s">
        <v>72</v>
      </c>
      <c r="H1041" s="1">
        <v>0.9961402</v>
      </c>
      <c r="I1041" s="1" t="s">
        <v>1041</v>
      </c>
    </row>
    <row r="1042">
      <c r="A1042" s="2" t="str">
        <f>HYPERLINK("https://ui.adsabs.harvard.edu/abs/2018Quant...2...48B/abstract","2018Quant...2...48B")</f>
        <v>2018Quant...2...48B</v>
      </c>
      <c r="B1042" s="2" t="str">
        <f>HYPERLINK("https://ui.adsabs.harvard.edu/abs/2017arXiv170507855B/abstract","2017arXiv170507855B")</f>
        <v>2017arXiv170507855B</v>
      </c>
      <c r="C1042" s="1" t="s">
        <v>70</v>
      </c>
      <c r="E1042" s="2" t="str">
        <f>HYPERLINK("https://ui.adsabs.harvard.edu/abs/2017arXiv170507855B/abstract","2017arXiv170507855B")</f>
        <v>2017arXiv170507855B</v>
      </c>
      <c r="G1042" s="1" t="s">
        <v>72</v>
      </c>
      <c r="H1042" s="1">
        <v>0.9961402</v>
      </c>
      <c r="I1042" s="1" t="s">
        <v>1041</v>
      </c>
    </row>
    <row r="1043">
      <c r="A1043" s="2" t="str">
        <f>HYPERLINK("https://ui.adsabs.harvard.edu/abs/2018Quant...2...58M/abstract","2018Quant...2...58M")</f>
        <v>2018Quant...2...58M</v>
      </c>
      <c r="B1043" s="2" t="str">
        <f>HYPERLINK("https://ui.adsabs.harvard.edu/abs/2017arXiv171106662M/abstract","2017arXiv171106662M")</f>
        <v>2017arXiv171106662M</v>
      </c>
      <c r="C1043" s="1" t="s">
        <v>70</v>
      </c>
      <c r="E1043" s="2" t="str">
        <f>HYPERLINK("https://ui.adsabs.harvard.edu/abs/2017arXiv171106662M/abstract","2017arXiv171106662M")</f>
        <v>2017arXiv171106662M</v>
      </c>
      <c r="G1043" s="1" t="s">
        <v>72</v>
      </c>
      <c r="H1043" s="1">
        <v>0.9961402</v>
      </c>
      <c r="I1043" s="1" t="s">
        <v>1041</v>
      </c>
    </row>
    <row r="1044">
      <c r="A1044" s="2" t="str">
        <f>HYPERLINK("https://ui.adsabs.harvard.edu/abs/2018Quant...2...60R/abstract","2018Quant...2...60R")</f>
        <v>2018Quant...2...60R</v>
      </c>
      <c r="B1044" s="2" t="str">
        <f>HYPERLINK("https://ui.adsabs.harvard.edu/abs/2017arXiv170706926R/abstract","2017arXiv170706926R")</f>
        <v>2017arXiv170706926R</v>
      </c>
      <c r="C1044" s="1" t="s">
        <v>70</v>
      </c>
      <c r="E1044" s="2" t="str">
        <f>HYPERLINK("https://ui.adsabs.harvard.edu/abs/2017arXiv170706926R/abstract","2017arXiv170706926R")</f>
        <v>2017arXiv170706926R</v>
      </c>
      <c r="G1044" s="1" t="s">
        <v>72</v>
      </c>
      <c r="H1044" s="1">
        <v>0.9961402</v>
      </c>
      <c r="I1044" s="1" t="s">
        <v>1041</v>
      </c>
    </row>
    <row r="1045">
      <c r="A1045" s="2" t="str">
        <f>HYPERLINK("https://ui.adsabs.harvard.edu/abs/2018Quant...2...61F/abstract","2018Quant...2...61F")</f>
        <v>2018Quant...2...61F</v>
      </c>
      <c r="B1045" s="2" t="str">
        <f>HYPERLINK("https://ui.adsabs.harvard.edu/abs/2017arXiv170800749F/abstract","2017arXiv170800749F")</f>
        <v>2017arXiv170800749F</v>
      </c>
      <c r="C1045" s="1" t="s">
        <v>70</v>
      </c>
      <c r="E1045" s="2" t="str">
        <f>HYPERLINK("https://ui.adsabs.harvard.edu/abs/2017arXiv170800749F/abstract","2017arXiv170800749F")</f>
        <v>2017arXiv170800749F</v>
      </c>
      <c r="G1045" s="1" t="s">
        <v>72</v>
      </c>
      <c r="H1045" s="1">
        <v>0.9961402</v>
      </c>
      <c r="I1045" s="1" t="s">
        <v>1041</v>
      </c>
    </row>
    <row r="1046">
      <c r="A1046" s="2" t="str">
        <f>HYPERLINK("https://ui.adsabs.harvard.edu/abs/2018Quant...2...63S/abstract","2018Quant...2...63S")</f>
        <v>2018Quant...2...63S</v>
      </c>
      <c r="B1046" s="2" t="str">
        <f>HYPERLINK("https://ui.adsabs.harvard.edu/abs/2017arXiv170800137S/abstract","2017arXiv170800137S")</f>
        <v>2017arXiv170800137S</v>
      </c>
      <c r="C1046" s="1" t="s">
        <v>70</v>
      </c>
      <c r="E1046" s="2" t="str">
        <f>HYPERLINK("https://ui.adsabs.harvard.edu/abs/2017arXiv170800137S/abstract","2017arXiv170800137S")</f>
        <v>2017arXiv170800137S</v>
      </c>
      <c r="G1046" s="1" t="s">
        <v>72</v>
      </c>
      <c r="H1046" s="1">
        <v>0.9961402</v>
      </c>
      <c r="I1046" s="1" t="s">
        <v>1041</v>
      </c>
    </row>
    <row r="1047">
      <c r="A1047" s="2" t="str">
        <f>HYPERLINK("https://ui.adsabs.harvard.edu/abs/2018Quant...2...64E/abstract","2018Quant...2...64E")</f>
        <v>2018Quant...2...64E</v>
      </c>
      <c r="B1047" s="2" t="str">
        <f>HYPERLINK("https://ui.adsabs.harvard.edu/abs/2017arXiv170809639E/abstract","2017arXiv170809639E")</f>
        <v>2017arXiv170809639E</v>
      </c>
      <c r="C1047" s="1" t="s">
        <v>70</v>
      </c>
      <c r="E1047" s="2" t="str">
        <f>HYPERLINK("https://ui.adsabs.harvard.edu/abs/2017arXiv170809639E/abstract","2017arXiv170809639E")</f>
        <v>2017arXiv170809639E</v>
      </c>
      <c r="G1047" s="1" t="s">
        <v>72</v>
      </c>
      <c r="H1047" s="1">
        <v>0.9961402</v>
      </c>
      <c r="I1047" s="1" t="s">
        <v>1041</v>
      </c>
    </row>
    <row r="1048">
      <c r="A1048" s="2" t="str">
        <f>HYPERLINK("https://ui.adsabs.harvard.edu/abs/2018Quant...2...65H/abstract","2018Quant...2...65H")</f>
        <v>2018Quant...2...65H</v>
      </c>
      <c r="B1048" s="2" t="str">
        <f>HYPERLINK("https://ui.adsabs.harvard.edu/abs/2017arXiv170603786H/abstract","2017arXiv170603786H")</f>
        <v>2017arXiv170603786H</v>
      </c>
      <c r="C1048" s="1" t="s">
        <v>70</v>
      </c>
      <c r="E1048" s="2" t="str">
        <f>HYPERLINK("https://ui.adsabs.harvard.edu/abs/2017arXiv170603786H/abstract","2017arXiv170603786H")</f>
        <v>2017arXiv170603786H</v>
      </c>
      <c r="G1048" s="1" t="s">
        <v>72</v>
      </c>
      <c r="H1048" s="1">
        <v>0.9961402</v>
      </c>
      <c r="I1048" s="1" t="s">
        <v>1041</v>
      </c>
    </row>
    <row r="1049">
      <c r="A1049" s="2" t="str">
        <f>HYPERLINK("https://ui.adsabs.harvard.edu/abs/2018Quant...2...68B/abstract","2018Quant...2...68B")</f>
        <v>2018Quant...2...68B</v>
      </c>
      <c r="B1049" s="2" t="str">
        <f>HYPERLINK("https://ui.adsabs.harvard.edu/abs/2017arXiv171009489B/abstract","2017arXiv171009489B")</f>
        <v>2017arXiv171009489B</v>
      </c>
      <c r="C1049" s="1" t="s">
        <v>70</v>
      </c>
      <c r="E1049" s="2" t="str">
        <f>HYPERLINK("https://ui.adsabs.harvard.edu/abs/2017arXiv171009489B/abstract","2017arXiv171009489B")</f>
        <v>2017arXiv171009489B</v>
      </c>
      <c r="G1049" s="1" t="s">
        <v>72</v>
      </c>
      <c r="H1049" s="1">
        <v>0.9961402</v>
      </c>
      <c r="I1049" s="1" t="s">
        <v>1041</v>
      </c>
    </row>
    <row r="1050">
      <c r="A1050" s="2" t="str">
        <f>HYPERLINK("https://ui.adsabs.harvard.edu/abs/2018Quant...2...69F/abstract","2018Quant...2...69F")</f>
        <v>2018Quant...2...69F</v>
      </c>
      <c r="B1050" s="2" t="str">
        <f>HYPERLINK("https://ui.adsabs.harvard.edu/abs/2017arXiv171002875F/abstract","2017arXiv171002875F")</f>
        <v>2017arXiv171002875F</v>
      </c>
      <c r="C1050" s="1" t="s">
        <v>70</v>
      </c>
      <c r="E1050" s="2" t="str">
        <f>HYPERLINK("https://ui.adsabs.harvard.edu/abs/2017arXiv171002875F/abstract","2017arXiv171002875F")</f>
        <v>2017arXiv171002875F</v>
      </c>
      <c r="G1050" s="1" t="s">
        <v>72</v>
      </c>
      <c r="H1050" s="1">
        <v>0.9961402</v>
      </c>
      <c r="I1050" s="1" t="s">
        <v>1041</v>
      </c>
    </row>
    <row r="1051">
      <c r="A1051" s="2" t="str">
        <f>HYPERLINK("https://ui.adsabs.harvard.edu/abs/2018Quant...2...74G/abstract","2018Quant...2...74G")</f>
        <v>2018Quant...2...74G</v>
      </c>
      <c r="B1051" s="2" t="str">
        <f>HYPERLINK("https://ui.adsabs.harvard.edu/abs/2017arXiv170906648G/abstract","2017arXiv170906648G")</f>
        <v>2017arXiv170906648G</v>
      </c>
      <c r="C1051" s="1" t="s">
        <v>70</v>
      </c>
      <c r="E1051" s="2" t="str">
        <f>HYPERLINK("https://ui.adsabs.harvard.edu/abs/2017arXiv170906648G/abstract","2017arXiv170906648G")</f>
        <v>2017arXiv170906648G</v>
      </c>
      <c r="G1051" s="1" t="s">
        <v>72</v>
      </c>
      <c r="H1051" s="1">
        <v>0.9961402</v>
      </c>
      <c r="I1051" s="1" t="s">
        <v>1041</v>
      </c>
    </row>
    <row r="1052">
      <c r="A1052" s="2" t="str">
        <f>HYPERLINK("https://ui.adsabs.harvard.edu/abs/2018Quant...2...76P/abstract","2018Quant...2...76P")</f>
        <v>2018Quant...2...76P</v>
      </c>
      <c r="B1052" s="2" t="str">
        <f>HYPERLINK("https://ui.adsabs.harvard.edu/abs/2017arXiv170406204P/abstract","2017arXiv170406204P")</f>
        <v>2017arXiv170406204P</v>
      </c>
      <c r="C1052" s="1" t="s">
        <v>70</v>
      </c>
      <c r="E1052" s="2" t="str">
        <f>HYPERLINK("https://ui.adsabs.harvard.edu/abs/2017arXiv170406204P/abstract","2017arXiv170406204P")</f>
        <v>2017arXiv170406204P</v>
      </c>
      <c r="G1052" s="1" t="s">
        <v>72</v>
      </c>
      <c r="H1052" s="1">
        <v>0.9961402</v>
      </c>
      <c r="I1052" s="1" t="s">
        <v>1041</v>
      </c>
    </row>
    <row r="1053">
      <c r="A1053" s="2" t="str">
        <f>HYPERLINK("https://ui.adsabs.harvard.edu/abs/2018Quant...2...77W/abstract","2018Quant...2...77W")</f>
        <v>2018Quant...2...77W</v>
      </c>
      <c r="B1053" s="2" t="str">
        <f>HYPERLINK("https://ui.adsabs.harvard.edu/abs/2017arXiv171005511W/abstract","2017arXiv171005511W")</f>
        <v>2017arXiv171005511W</v>
      </c>
      <c r="C1053" s="1" t="s">
        <v>70</v>
      </c>
      <c r="E1053" s="2" t="str">
        <f>HYPERLINK("https://ui.adsabs.harvard.edu/abs/2017arXiv171005511W/abstract","2017arXiv171005511W")</f>
        <v>2017arXiv171005511W</v>
      </c>
      <c r="G1053" s="1" t="s">
        <v>72</v>
      </c>
      <c r="H1053" s="1">
        <v>0.9961402</v>
      </c>
      <c r="I1053" s="1" t="s">
        <v>1041</v>
      </c>
    </row>
    <row r="1054">
      <c r="A1054" s="2" t="str">
        <f>HYPERLINK("https://ui.adsabs.harvard.edu/abs/2018Quant...2...79P/abstract","2018Quant...2...79P")</f>
        <v>2018Quant...2...79P</v>
      </c>
      <c r="B1054" s="2" t="str">
        <f>HYPERLINK("https://ui.adsabs.harvard.edu/abs/2018arXiv180100862P/abstract","2018arXiv180100862P")</f>
        <v>2018arXiv180100862P</v>
      </c>
      <c r="C1054" s="1" t="s">
        <v>70</v>
      </c>
      <c r="E1054" s="2" t="str">
        <f>HYPERLINK("https://ui.adsabs.harvard.edu/abs/2018arXiv180100862P/abstract","2018arXiv180100862P")</f>
        <v>2018arXiv180100862P</v>
      </c>
      <c r="G1054" s="1" t="s">
        <v>72</v>
      </c>
      <c r="H1054" s="1">
        <v>0.9961402</v>
      </c>
      <c r="I1054" s="1" t="s">
        <v>1041</v>
      </c>
    </row>
    <row r="1055">
      <c r="A1055" s="2" t="str">
        <f>HYPERLINK("https://ui.adsabs.harvard.edu/abs/2018Quant...2...80D/abstract","2018Quant...2...80D")</f>
        <v>2018Quant...2...80D</v>
      </c>
      <c r="B1055" s="2" t="str">
        <f>HYPERLINK("https://ui.adsabs.harvard.edu/abs/2017arXiv170101723D/abstract","2017arXiv170101723D")</f>
        <v>2017arXiv170101723D</v>
      </c>
      <c r="C1055" s="1" t="s">
        <v>70</v>
      </c>
      <c r="E1055" s="2" t="str">
        <f>HYPERLINK("https://ui.adsabs.harvard.edu/abs/2017arXiv170101723D/abstract","2017arXiv170101723D")</f>
        <v>2017arXiv170101723D</v>
      </c>
      <c r="G1055" s="1" t="s">
        <v>72</v>
      </c>
      <c r="H1055" s="1">
        <v>0.9961402</v>
      </c>
      <c r="I1055" s="1" t="s">
        <v>1041</v>
      </c>
    </row>
    <row r="1056">
      <c r="A1056" s="2" t="str">
        <f>HYPERLINK("https://ui.adsabs.harvard.edu/abs/2018Quant...2...81G/abstract","2018Quant...2...81G")</f>
        <v>2018Quant...2...81G</v>
      </c>
      <c r="B1056" s="2" t="str">
        <f>HYPERLINK("https://ui.adsabs.harvard.edu/abs/2017arXiv171003295G/abstract","2017arXiv171003295G")</f>
        <v>2017arXiv171003295G</v>
      </c>
      <c r="C1056" s="1" t="s">
        <v>70</v>
      </c>
      <c r="E1056" s="2" t="str">
        <f>HYPERLINK("https://ui.adsabs.harvard.edu/abs/2017arXiv171003295G/abstract","2017arXiv171003295G")</f>
        <v>2017arXiv171003295G</v>
      </c>
      <c r="G1056" s="1" t="s">
        <v>72</v>
      </c>
      <c r="H1056" s="1">
        <v>0.9961402</v>
      </c>
      <c r="I1056" s="1" t="s">
        <v>1041</v>
      </c>
    </row>
    <row r="1057">
      <c r="A1057" s="2" t="str">
        <f>HYPERLINK("https://ui.adsabs.harvard.edu/abs/2018Quant...2...82W/abstract","2018Quant...2...82W")</f>
        <v>2018Quant...2...82W</v>
      </c>
      <c r="B1057" s="2" t="str">
        <f>HYPERLINK("https://ui.adsabs.harvard.edu/abs/2018arXiv180409733W/abstract","2018arXiv180409733W")</f>
        <v>2018arXiv180409733W</v>
      </c>
      <c r="C1057" s="1" t="s">
        <v>70</v>
      </c>
      <c r="E1057" s="2" t="str">
        <f>HYPERLINK("https://ui.adsabs.harvard.edu/abs/2018arXiv180409733W/abstract","2018arXiv180409733W")</f>
        <v>2018arXiv180409733W</v>
      </c>
      <c r="G1057" s="1" t="s">
        <v>72</v>
      </c>
      <c r="H1057" s="1">
        <v>0.9961402</v>
      </c>
      <c r="I1057" s="1" t="s">
        <v>1041</v>
      </c>
    </row>
    <row r="1058">
      <c r="A1058" s="2" t="str">
        <f>HYPERLINK("https://ui.adsabs.harvard.edu/abs/2018Quant...2...83K/abstract","2018Quant...2...83K")</f>
        <v>2018Quant...2...83K</v>
      </c>
      <c r="B1058" s="2" t="str">
        <f>HYPERLINK("https://ui.adsabs.harvard.edu/abs/2017arXiv170805489K/abstract","2017arXiv170805489K")</f>
        <v>2017arXiv170805489K</v>
      </c>
      <c r="C1058" s="1" t="s">
        <v>70</v>
      </c>
      <c r="E1058" s="2" t="str">
        <f>HYPERLINK("https://ui.adsabs.harvard.edu/abs/2017arXiv170805489K/abstract","2017arXiv170805489K")</f>
        <v>2017arXiv170805489K</v>
      </c>
      <c r="G1058" s="1" t="s">
        <v>72</v>
      </c>
      <c r="H1058" s="1">
        <v>0.9961402</v>
      </c>
      <c r="I1058" s="1" t="s">
        <v>1041</v>
      </c>
    </row>
    <row r="1059">
      <c r="A1059" s="2" t="str">
        <f>HYPERLINK("https://ui.adsabs.harvard.edu/abs/2018Quant...2...85H/abstract","2018Quant...2...85H")</f>
        <v>2018Quant...2...85H</v>
      </c>
      <c r="B1059" s="2" t="str">
        <f>HYPERLINK("https://ui.adsabs.harvard.edu/abs/2018arXiv180106121H/abstract","2018arXiv180106121H")</f>
        <v>2018arXiv180106121H</v>
      </c>
      <c r="C1059" s="1" t="s">
        <v>70</v>
      </c>
      <c r="E1059" s="2" t="str">
        <f>HYPERLINK("https://ui.adsabs.harvard.edu/abs/2018arXiv180106121H/abstract","2018arXiv180106121H")</f>
        <v>2018arXiv180106121H</v>
      </c>
      <c r="G1059" s="1" t="s">
        <v>72</v>
      </c>
      <c r="H1059" s="1">
        <v>0.9961402</v>
      </c>
      <c r="I1059" s="1" t="s">
        <v>1041</v>
      </c>
    </row>
    <row r="1060">
      <c r="A1060" s="2" t="str">
        <f>HYPERLINK("https://ui.adsabs.harvard.edu/abs/2018Quant...2...90P/abstract","2018Quant...2...90P")</f>
        <v>2018Quant...2...90P</v>
      </c>
      <c r="B1060" s="2" t="str">
        <f>HYPERLINK("https://ui.adsabs.harvard.edu/abs/2018arXiv180608088P/abstract","2018arXiv180608088P")</f>
        <v>2018arXiv180608088P</v>
      </c>
      <c r="C1060" s="1" t="s">
        <v>70</v>
      </c>
      <c r="E1060" s="2" t="str">
        <f>HYPERLINK("https://ui.adsabs.harvard.edu/abs/2018arXiv180608088P/abstract","2018arXiv180608088P")</f>
        <v>2018arXiv180608088P</v>
      </c>
      <c r="G1060" s="1" t="s">
        <v>72</v>
      </c>
      <c r="H1060" s="1">
        <v>0.9961402</v>
      </c>
      <c r="I1060" s="1" t="s">
        <v>1041</v>
      </c>
    </row>
    <row r="1061">
      <c r="A1061" s="2" t="str">
        <f>HYPERLINK("https://ui.adsabs.harvard.edu/abs/2018Quant...2...91S/abstract","2018Quant...2...91S")</f>
        <v>2018Quant...2...91S</v>
      </c>
      <c r="B1061" s="2" t="str">
        <f>HYPERLINK("https://ui.adsabs.harvard.edu/abs/2017arXiv171208060S/abstract","2017arXiv171208060S")</f>
        <v>2017arXiv171208060S</v>
      </c>
      <c r="C1061" s="1" t="s">
        <v>70</v>
      </c>
      <c r="E1061" s="2" t="str">
        <f>HYPERLINK("https://ui.adsabs.harvard.edu/abs/2017arXiv171208060S/abstract","2017arXiv171208060S")</f>
        <v>2017arXiv171208060S</v>
      </c>
      <c r="G1061" s="1" t="s">
        <v>72</v>
      </c>
      <c r="H1061" s="1">
        <v>0.9961402</v>
      </c>
      <c r="I1061" s="1" t="s">
        <v>1041</v>
      </c>
    </row>
    <row r="1062">
      <c r="A1062" s="2" t="str">
        <f>HYPERLINK("https://ui.adsabs.harvard.edu/abs/2018Quant...2...93K/abstract","2018Quant...2...93K")</f>
        <v>2018Quant...2...93K</v>
      </c>
      <c r="B1062" s="2" t="str">
        <f>HYPERLINK("https://ui.adsabs.harvard.edu/abs/2017arXiv171205356K/abstract","2017arXiv171205356K")</f>
        <v>2017arXiv171205356K</v>
      </c>
      <c r="C1062" s="1" t="s">
        <v>70</v>
      </c>
      <c r="E1062" s="2" t="str">
        <f>HYPERLINK("https://ui.adsabs.harvard.edu/abs/2017arXiv171205356K/abstract","2017arXiv171205356K")</f>
        <v>2017arXiv171205356K</v>
      </c>
      <c r="G1062" s="1" t="s">
        <v>72</v>
      </c>
      <c r="H1062" s="1">
        <v>0.9961402</v>
      </c>
      <c r="I1062" s="1" t="s">
        <v>1041</v>
      </c>
    </row>
    <row r="1063">
      <c r="A1063" s="2" t="str">
        <f>HYPERLINK("https://ui.adsabs.harvard.edu/abs/2018Quant...2...97G/abstract","2018Quant...2...97G")</f>
        <v>2018Quant...2...97G</v>
      </c>
      <c r="B1063" s="2" t="str">
        <f>HYPERLINK("https://ui.adsabs.harvard.edu/abs/2018arXiv180602528G/abstract","2018arXiv180602528G")</f>
        <v>2018arXiv180602528G</v>
      </c>
      <c r="C1063" s="1" t="s">
        <v>70</v>
      </c>
      <c r="E1063" s="2" t="str">
        <f>HYPERLINK("https://ui.adsabs.harvard.edu/abs/2018arXiv180602528G/abstract","2018arXiv180602528G")</f>
        <v>2018arXiv180602528G</v>
      </c>
      <c r="G1063" s="1" t="s">
        <v>72</v>
      </c>
      <c r="H1063" s="1">
        <v>0.9961402</v>
      </c>
      <c r="I1063" s="1" t="s">
        <v>1041</v>
      </c>
    </row>
    <row r="1064">
      <c r="A1064" s="2" t="str">
        <f>HYPERLINK("https://ui.adsabs.harvard.edu/abs/2018Quant...2...98S/abstract","2018Quant...2...98S")</f>
        <v>2018Quant...2...98S</v>
      </c>
      <c r="B1064" s="2" t="str">
        <f>HYPERLINK("https://ui.adsabs.harvard.edu/abs/2018arXiv180108491S/abstract","2018arXiv180108491S")</f>
        <v>2018arXiv180108491S</v>
      </c>
      <c r="C1064" s="1" t="s">
        <v>70</v>
      </c>
      <c r="E1064" s="2" t="str">
        <f>HYPERLINK("https://ui.adsabs.harvard.edu/abs/2018arXiv180108491S/abstract","2018arXiv180108491S")</f>
        <v>2018arXiv180108491S</v>
      </c>
      <c r="G1064" s="1" t="s">
        <v>72</v>
      </c>
      <c r="H1064" s="1">
        <v>0.9961402</v>
      </c>
      <c r="I1064" s="1" t="s">
        <v>1041</v>
      </c>
    </row>
    <row r="1065">
      <c r="A1065" s="2" t="str">
        <f>HYPERLINK("https://ui.adsabs.harvard.edu/abs/2018Quant...2...99B/abstract","2018Quant...2...99B")</f>
        <v>2018Quant...2...99B</v>
      </c>
      <c r="B1065" s="2" t="str">
        <f>HYPERLINK("https://ui.adsabs.harvard.edu/abs/2017arXiv171007212B/abstract","2017arXiv171007212B")</f>
        <v>2017arXiv171007212B</v>
      </c>
      <c r="C1065" s="1" t="s">
        <v>70</v>
      </c>
      <c r="E1065" s="2" t="str">
        <f>HYPERLINK("https://ui.adsabs.harvard.edu/abs/2017arXiv171007212B/abstract","2017arXiv171007212B")</f>
        <v>2017arXiv171007212B</v>
      </c>
      <c r="G1065" s="1" t="s">
        <v>72</v>
      </c>
      <c r="H1065" s="1">
        <v>0.9961402</v>
      </c>
      <c r="I1065" s="1" t="s">
        <v>1041</v>
      </c>
    </row>
    <row r="1066">
      <c r="A1066" s="2" t="str">
        <f>HYPERLINK("https://ui.adsabs.harvard.edu/abs/2018Quant...2..101K/abstract","2018Quant...2..101K")</f>
        <v>2018Quant...2..101K</v>
      </c>
      <c r="B1066" s="2" t="str">
        <f>HYPERLINK("https://ui.adsabs.harvard.edu/abs/2018arXiv180602820K/abstract","2018arXiv180602820K")</f>
        <v>2018arXiv180602820K</v>
      </c>
      <c r="C1066" s="1" t="s">
        <v>70</v>
      </c>
      <c r="E1066" s="2" t="str">
        <f>HYPERLINK("https://ui.adsabs.harvard.edu/abs/2018arXiv180602820K/abstract","2018arXiv180602820K")</f>
        <v>2018arXiv180602820K</v>
      </c>
      <c r="G1066" s="1" t="s">
        <v>72</v>
      </c>
      <c r="H1066" s="1">
        <v>0.9961402</v>
      </c>
      <c r="I1066" s="1" t="s">
        <v>1041</v>
      </c>
    </row>
    <row r="1067">
      <c r="A1067" s="2" t="str">
        <f>HYPERLINK("https://ui.adsabs.harvard.edu/abs/2018Quant...2..102C/abstract","2018Quant...2..102C")</f>
        <v>2018Quant...2..102C</v>
      </c>
      <c r="B1067" s="2" t="str">
        <f>HYPERLINK("https://ui.adsabs.harvard.edu/abs/2017arXiv170902154C/abstract","2017arXiv170902154C")</f>
        <v>2017arXiv170902154C</v>
      </c>
      <c r="C1067" s="1" t="s">
        <v>70</v>
      </c>
      <c r="E1067" s="2" t="str">
        <f>HYPERLINK("https://ui.adsabs.harvard.edu/abs/2017arXiv170902154C/abstract","2017arXiv170902154C")</f>
        <v>2017arXiv170902154C</v>
      </c>
      <c r="G1067" s="1" t="s">
        <v>72</v>
      </c>
      <c r="H1067" s="1">
        <v>0.9961402</v>
      </c>
      <c r="I1067" s="1" t="s">
        <v>1041</v>
      </c>
    </row>
    <row r="1068">
      <c r="A1068" s="2" t="str">
        <f>HYPERLINK("https://ui.adsabs.harvard.edu/abs/2018Quant...2..103S/abstract","2018Quant...2..103S")</f>
        <v>2018Quant...2..103S</v>
      </c>
      <c r="B1068" s="2" t="str">
        <f>HYPERLINK("https://ui.adsabs.harvard.edu/abs/2018arXiv180310279S/abstract","2018arXiv180310279S")</f>
        <v>2018arXiv180310279S</v>
      </c>
      <c r="C1068" s="1" t="s">
        <v>70</v>
      </c>
      <c r="E1068" s="2" t="str">
        <f>HYPERLINK("https://ui.adsabs.harvard.edu/abs/2018arXiv180310279S/abstract","2018arXiv180310279S")</f>
        <v>2018arXiv180310279S</v>
      </c>
      <c r="G1068" s="1" t="s">
        <v>72</v>
      </c>
      <c r="H1068" s="1">
        <v>0.9961402</v>
      </c>
      <c r="I1068" s="1" t="s">
        <v>1041</v>
      </c>
    </row>
    <row r="1069">
      <c r="A1069" s="2" t="str">
        <f>HYPERLINK("https://ui.adsabs.harvard.edu/abs/2018Quant...2..104G/abstract","2018Quant...2..104G")</f>
        <v>2018Quant...2..104G</v>
      </c>
      <c r="B1069" s="2" t="str">
        <f>HYPERLINK("https://ui.adsabs.harvard.edu/abs/2018arXiv180106414G/abstract","2018arXiv180106414G")</f>
        <v>2018arXiv180106414G</v>
      </c>
      <c r="C1069" s="1" t="s">
        <v>70</v>
      </c>
      <c r="E1069" s="2" t="str">
        <f>HYPERLINK("https://ui.adsabs.harvard.edu/abs/2018arXiv180106414G/abstract","2018arXiv180106414G")</f>
        <v>2018arXiv180106414G</v>
      </c>
      <c r="G1069" s="1" t="s">
        <v>72</v>
      </c>
      <c r="H1069" s="1">
        <v>0.9961402</v>
      </c>
      <c r="I1069" s="1" t="s">
        <v>1041</v>
      </c>
    </row>
    <row r="1070">
      <c r="A1070" s="2" t="str">
        <f>HYPERLINK("https://ui.adsabs.harvard.edu/abs/2018Quant...2..106M/abstract","2018Quant...2..106M")</f>
        <v>2018Quant...2..106M</v>
      </c>
      <c r="B1070" s="2" t="str">
        <f>HYPERLINK("https://ui.adsabs.harvard.edu/abs/2017arXiv171110605M/abstract","2017arXiv171110605M")</f>
        <v>2017arXiv171110605M</v>
      </c>
      <c r="C1070" s="1" t="s">
        <v>70</v>
      </c>
      <c r="E1070" s="2" t="str">
        <f>HYPERLINK("https://ui.adsabs.harvard.edu/abs/2017arXiv171110605M/abstract","2017arXiv171110605M")</f>
        <v>2017arXiv171110605M</v>
      </c>
      <c r="G1070" s="1" t="s">
        <v>72</v>
      </c>
      <c r="H1070" s="1">
        <v>0.9961402</v>
      </c>
      <c r="I1070" s="1" t="s">
        <v>1041</v>
      </c>
    </row>
    <row r="1071">
      <c r="A1071" s="2" t="str">
        <f>HYPERLINK("https://ui.adsabs.harvard.edu/abs/2018Quant...2..107F/abstract","2018Quant...2..107F")</f>
        <v>2018Quant...2..107F</v>
      </c>
      <c r="B1071" s="2" t="str">
        <f>HYPERLINK("https://ui.adsabs.harvard.edu/abs/2018arXiv180500449F/abstract","2018arXiv180500449F")</f>
        <v>2018arXiv180500449F</v>
      </c>
      <c r="C1071" s="1" t="s">
        <v>70</v>
      </c>
      <c r="E1071" s="2" t="str">
        <f>HYPERLINK("https://ui.adsabs.harvard.edu/abs/2018arXiv180500449F/abstract","2018arXiv180500449F")</f>
        <v>2018arXiv180500449F</v>
      </c>
      <c r="G1071" s="1" t="s">
        <v>72</v>
      </c>
      <c r="H1071" s="1">
        <v>0.9961402</v>
      </c>
      <c r="I1071" s="1" t="s">
        <v>1041</v>
      </c>
    </row>
    <row r="1072">
      <c r="A1072" s="2" t="str">
        <f>HYPERLINK("https://ui.adsabs.harvard.edu/abs/2018Quant...2..108C/abstract","2018Quant...2..108C")</f>
        <v>2018Quant...2..108C</v>
      </c>
      <c r="B1072" s="2" t="str">
        <f>HYPERLINK("https://ui.adsabs.harvard.edu/abs/2017arXiv171101193C/abstract","2017arXiv171101193C")</f>
        <v>2017arXiv171101193C</v>
      </c>
      <c r="C1072" s="1" t="s">
        <v>70</v>
      </c>
      <c r="E1072" s="2" t="str">
        <f>HYPERLINK("https://ui.adsabs.harvard.edu/abs/2017arXiv171101193C/abstract","2017arXiv171101193C")</f>
        <v>2017arXiv171101193C</v>
      </c>
      <c r="G1072" s="1" t="s">
        <v>72</v>
      </c>
      <c r="H1072" s="1">
        <v>0.9961402</v>
      </c>
      <c r="I1072" s="1" t="s">
        <v>1041</v>
      </c>
    </row>
    <row r="1073">
      <c r="A1073" s="2" t="str">
        <f>HYPERLINK("https://ui.adsabs.harvard.edu/abs/2018Quant...2..109G/abstract","2018Quant...2..109G")</f>
        <v>2018Quant...2..109G</v>
      </c>
      <c r="B1073" s="2" t="str">
        <f>HYPERLINK("https://ui.adsabs.harvard.edu/abs/2017arXiv170603625G/abstract","2017arXiv170603625G")</f>
        <v>2017arXiv170603625G</v>
      </c>
      <c r="C1073" s="1" t="s">
        <v>70</v>
      </c>
      <c r="E1073" s="2" t="str">
        <f>HYPERLINK("https://ui.adsabs.harvard.edu/abs/2017arXiv170603625G/abstract","2017arXiv170603625G")</f>
        <v>2017arXiv170603625G</v>
      </c>
      <c r="G1073" s="1" t="s">
        <v>72</v>
      </c>
      <c r="H1073" s="1">
        <v>0.9961402</v>
      </c>
      <c r="I1073" s="1" t="s">
        <v>1041</v>
      </c>
    </row>
    <row r="1074">
      <c r="A1074" s="2" t="str">
        <f>HYPERLINK("https://ui.adsabs.harvard.edu/abs/2018Quant...2..110A/abstract","2018Quant...2..110A")</f>
        <v>2018Quant...2..110A</v>
      </c>
      <c r="B1074" s="2" t="str">
        <f>HYPERLINK("https://ui.adsabs.harvard.edu/abs/2018arXiv180305891A/abstract","2018arXiv180305891A")</f>
        <v>2018arXiv180305891A</v>
      </c>
      <c r="C1074" s="1" t="s">
        <v>70</v>
      </c>
      <c r="E1074" s="2" t="str">
        <f>HYPERLINK("https://ui.adsabs.harvard.edu/abs/2018arXiv180305891A/abstract","2018arXiv180305891A")</f>
        <v>2018arXiv180305891A</v>
      </c>
      <c r="G1074" s="1" t="s">
        <v>72</v>
      </c>
      <c r="H1074" s="1">
        <v>0.9961402</v>
      </c>
      <c r="I1074" s="1" t="s">
        <v>1041</v>
      </c>
    </row>
    <row r="1075">
      <c r="A1075" s="2" t="str">
        <f>HYPERLINK("https://ui.adsabs.harvard.edu/abs/2018Quant...2..111B/abstract","2018Quant...2..111B")</f>
        <v>2018Quant...2..111B</v>
      </c>
      <c r="B1075" s="2" t="str">
        <f>HYPERLINK("https://ui.adsabs.harvard.edu/abs/2018arXiv180205773B/abstract","2018arXiv180205773B")</f>
        <v>2018arXiv180205773B</v>
      </c>
      <c r="C1075" s="1" t="s">
        <v>70</v>
      </c>
      <c r="E1075" s="2" t="str">
        <f>HYPERLINK("https://ui.adsabs.harvard.edu/abs/2018arXiv180205773B/abstract","2018arXiv180205773B")</f>
        <v>2018arXiv180205773B</v>
      </c>
      <c r="G1075" s="1" t="s">
        <v>72</v>
      </c>
      <c r="H1075" s="1">
        <v>0.9961402</v>
      </c>
      <c r="I1075" s="1" t="s">
        <v>1041</v>
      </c>
    </row>
    <row r="1076">
      <c r="A1076" s="2" t="str">
        <f>HYPERLINK("https://ui.adsabs.harvard.edu/abs/2018Quant...2..112C/abstract","2018Quant...2..112C")</f>
        <v>2018Quant...2..112C</v>
      </c>
      <c r="B1076" s="2" t="str">
        <f>HYPERLINK("https://ui.adsabs.harvard.edu/abs/2018arXiv180210370C/abstract","2018arXiv180210370C")</f>
        <v>2018arXiv180210370C</v>
      </c>
      <c r="C1076" s="1" t="s">
        <v>70</v>
      </c>
      <c r="E1076" s="2" t="str">
        <f>HYPERLINK("https://ui.adsabs.harvard.edu/abs/2018arXiv180210370C/abstract","2018arXiv180210370C")</f>
        <v>2018arXiv180210370C</v>
      </c>
      <c r="G1076" s="1" t="s">
        <v>72</v>
      </c>
      <c r="H1076" s="1">
        <v>0.9961402</v>
      </c>
      <c r="I1076" s="1" t="s">
        <v>1041</v>
      </c>
    </row>
    <row r="1077">
      <c r="A1077" s="2" t="str">
        <f>HYPERLINK("https://ui.adsabs.harvard.edu/abs/2018Quant...2..114C/abstract","2018Quant...2..114C")</f>
        <v>2018Quant...2..114C</v>
      </c>
      <c r="B1077" s="2" t="str">
        <f>HYPERLINK("https://ui.adsabs.harvard.edu/abs/2018arXiv180707112C/abstract","2018arXiv180707112C")</f>
        <v>2018arXiv180707112C</v>
      </c>
      <c r="C1077" s="1" t="s">
        <v>70</v>
      </c>
      <c r="E1077" s="2" t="str">
        <f>HYPERLINK("https://ui.adsabs.harvard.edu/abs/2018arXiv180707112C/abstract","2018arXiv180707112C")</f>
        <v>2018arXiv180707112C</v>
      </c>
      <c r="G1077" s="1" t="s">
        <v>72</v>
      </c>
      <c r="H1077" s="1">
        <v>0.9961402</v>
      </c>
      <c r="I1077" s="1" t="s">
        <v>1041</v>
      </c>
    </row>
    <row r="1078">
      <c r="A1078" s="2" t="str">
        <f>HYPERLINK("https://ui.adsabs.harvard.edu/abs/2019Quant...3..118L/abstract","2019Quant...3..118L")</f>
        <v>2019Quant...3..118L</v>
      </c>
      <c r="B1078" s="2" t="str">
        <f>HYPERLINK("https://ui.adsabs.harvard.edu/abs/2018arXiv180509868L/abstract","2018arXiv180509868L")</f>
        <v>2018arXiv180509868L</v>
      </c>
      <c r="C1078" s="1" t="s">
        <v>70</v>
      </c>
      <c r="E1078" s="2" t="str">
        <f>HYPERLINK("https://ui.adsabs.harvard.edu/abs/2018arXiv180509868L/abstract","2018arXiv180509868L")</f>
        <v>2018arXiv180509868L</v>
      </c>
      <c r="G1078" s="1" t="s">
        <v>72</v>
      </c>
      <c r="H1078" s="1">
        <v>0.9961402</v>
      </c>
      <c r="I1078" s="1" t="s">
        <v>1041</v>
      </c>
    </row>
    <row r="1079">
      <c r="A1079" s="2" t="str">
        <f>HYPERLINK("https://ui.adsabs.harvard.edu/abs/2019Quant...3..119H/abstract","2019Quant...3..119H")</f>
        <v>2019Quant...3..119H</v>
      </c>
      <c r="B1079" s="2" t="str">
        <f>HYPERLINK("https://ui.adsabs.harvard.edu/abs/2018arXiv180409967H/abstract","2018arXiv180409967H")</f>
        <v>2018arXiv180409967H</v>
      </c>
      <c r="C1079" s="1" t="s">
        <v>70</v>
      </c>
      <c r="E1079" s="2" t="str">
        <f>HYPERLINK("https://ui.adsabs.harvard.edu/abs/2018arXiv180409967H/abstract","2018arXiv180409967H")</f>
        <v>2018arXiv180409967H</v>
      </c>
      <c r="G1079" s="1" t="s">
        <v>72</v>
      </c>
      <c r="H1079" s="1">
        <v>0.9961402</v>
      </c>
      <c r="I1079" s="1" t="s">
        <v>1041</v>
      </c>
    </row>
    <row r="1080">
      <c r="A1080" s="2" t="str">
        <f>HYPERLINK("https://ui.adsabs.harvard.edu/abs/2019Quant...3..120J/abstract","2019Quant...3..120J")</f>
        <v>2019Quant...3..120J</v>
      </c>
      <c r="B1080" s="2" t="str">
        <f>HYPERLINK("https://ui.adsabs.harvard.edu/abs/2018arXiv180709783J/abstract","2018arXiv180709783J")</f>
        <v>2018arXiv180709783J</v>
      </c>
      <c r="C1080" s="1" t="s">
        <v>70</v>
      </c>
      <c r="E1080" s="2" t="str">
        <f>HYPERLINK("https://ui.adsabs.harvard.edu/abs/2018arXiv180709783J/abstract","2018arXiv180709783J")</f>
        <v>2018arXiv180709783J</v>
      </c>
      <c r="G1080" s="1" t="s">
        <v>72</v>
      </c>
      <c r="H1080" s="1">
        <v>0.9961402</v>
      </c>
      <c r="I1080" s="1" t="s">
        <v>1041</v>
      </c>
    </row>
    <row r="1081">
      <c r="A1081" s="2" t="str">
        <f>HYPERLINK("https://ui.adsabs.harvard.edu/abs/2019Quant...3..124H/abstract","2019Quant...3..124H")</f>
        <v>2019Quant...3..124H</v>
      </c>
      <c r="B1081" s="2" t="str">
        <f>HYPERLINK("https://ui.adsabs.harvard.edu/abs/2018arXiv180611256H/abstract","2018arXiv180611256H")</f>
        <v>2018arXiv180611256H</v>
      </c>
      <c r="C1081" s="1" t="s">
        <v>70</v>
      </c>
      <c r="E1081" s="2" t="str">
        <f>HYPERLINK("https://ui.adsabs.harvard.edu/abs/2018arXiv180611256H/abstract","2018arXiv180611256H")</f>
        <v>2018arXiv180611256H</v>
      </c>
      <c r="G1081" s="1" t="s">
        <v>72</v>
      </c>
      <c r="H1081" s="1">
        <v>0.9961402</v>
      </c>
      <c r="I1081" s="1" t="s">
        <v>1041</v>
      </c>
    </row>
    <row r="1082">
      <c r="A1082" s="2" t="str">
        <f>HYPERLINK("https://ui.adsabs.harvard.edu/abs/2019Quant...3..127C/abstract","2019Quant...3..127C")</f>
        <v>2019Quant...3..127C</v>
      </c>
      <c r="B1082" s="2" t="str">
        <f>HYPERLINK("https://ui.adsabs.harvard.edu/abs/2018arXiv180409188C/abstract","2018arXiv180409188C")</f>
        <v>2018arXiv180409188C</v>
      </c>
      <c r="C1082" s="1" t="s">
        <v>70</v>
      </c>
      <c r="E1082" s="2" t="str">
        <f>HYPERLINK("https://ui.adsabs.harvard.edu/abs/2018arXiv180409188C/abstract","2018arXiv180409188C")</f>
        <v>2018arXiv180409188C</v>
      </c>
      <c r="G1082" s="1" t="s">
        <v>72</v>
      </c>
      <c r="H1082" s="1">
        <v>0.9961402</v>
      </c>
      <c r="I1082" s="1" t="s">
        <v>1041</v>
      </c>
    </row>
    <row r="1083">
      <c r="A1083" s="2" t="str">
        <f>HYPERLINK("https://ui.adsabs.harvard.edu/abs/2019Quant...3..128L/abstract","2019Quant...3..128L")</f>
        <v>2019Quant...3..128L</v>
      </c>
      <c r="B1083" s="2" t="str">
        <f>HYPERLINK("https://ui.adsabs.harvard.edu/abs/2018arXiv180802892L/abstract","2018arXiv180802892L")</f>
        <v>2018arXiv180802892L</v>
      </c>
      <c r="C1083" s="1" t="s">
        <v>70</v>
      </c>
      <c r="E1083" s="2" t="str">
        <f>HYPERLINK("https://ui.adsabs.harvard.edu/abs/2018arXiv180802892L/abstract","2018arXiv180802892L")</f>
        <v>2018arXiv180802892L</v>
      </c>
      <c r="G1083" s="1" t="s">
        <v>72</v>
      </c>
      <c r="H1083" s="1">
        <v>0.9961402</v>
      </c>
      <c r="I1083" s="1" t="s">
        <v>1041</v>
      </c>
    </row>
    <row r="1084">
      <c r="A1084" s="2" t="str">
        <f>HYPERLINK("https://ui.adsabs.harvard.edu/abs/2019Quant...3..129K/abstract","2019Quant...3..129K")</f>
        <v>2019Quant...3..129K</v>
      </c>
      <c r="B1084" s="2" t="str">
        <f>HYPERLINK("https://ui.adsabs.harvard.edu/abs/2018arXiv180403159K/abstract","2018arXiv180403159K")</f>
        <v>2018arXiv180403159K</v>
      </c>
      <c r="C1084" s="1" t="s">
        <v>70</v>
      </c>
      <c r="E1084" s="2" t="str">
        <f>HYPERLINK("https://ui.adsabs.harvard.edu/abs/2018arXiv180403159K/abstract","2018arXiv180403159K")</f>
        <v>2018arXiv180403159K</v>
      </c>
      <c r="G1084" s="1" t="s">
        <v>72</v>
      </c>
      <c r="H1084" s="1">
        <v>0.9961402</v>
      </c>
      <c r="I1084" s="1" t="s">
        <v>1041</v>
      </c>
    </row>
    <row r="1085">
      <c r="A1085" s="2" t="str">
        <f>HYPERLINK("https://ui.adsabs.harvard.edu/abs/2019Quant...3..130L/abstract","2019Quant...3..130L")</f>
        <v>2019Quant...3..130L</v>
      </c>
      <c r="B1085" s="2" t="str">
        <f>HYPERLINK("https://ui.adsabs.harvard.edu/abs/2018arXiv180702500L/abstract","2018arXiv180702500L")</f>
        <v>2018arXiv180702500L</v>
      </c>
      <c r="C1085" s="1" t="s">
        <v>70</v>
      </c>
      <c r="E1085" s="2" t="str">
        <f>HYPERLINK("https://ui.adsabs.harvard.edu/abs/2018arXiv180702500L/abstract","2018arXiv180702500L")</f>
        <v>2018arXiv180702500L</v>
      </c>
      <c r="G1085" s="1" t="s">
        <v>72</v>
      </c>
      <c r="H1085" s="1">
        <v>0.9961402</v>
      </c>
      <c r="I1085" s="1" t="s">
        <v>1041</v>
      </c>
    </row>
    <row r="1086">
      <c r="A1086" s="2" t="str">
        <f>HYPERLINK("https://ui.adsabs.harvard.edu/abs/2019Quant...3..133O/abstract","2019Quant...3..133O")</f>
        <v>2019Quant...3..133O</v>
      </c>
      <c r="B1086" s="2" t="str">
        <f>HYPERLINK("https://ui.adsabs.harvard.edu/abs/2019arXiv190108566O/abstract","2019arXiv190108566O")</f>
        <v>2019arXiv190108566O</v>
      </c>
      <c r="C1086" s="1" t="s">
        <v>70</v>
      </c>
      <c r="E1086" s="2" t="str">
        <f>HYPERLINK("https://ui.adsabs.harvard.edu/abs/2019arXiv190108566O/abstract","2019arXiv190108566O")</f>
        <v>2019arXiv190108566O</v>
      </c>
      <c r="G1086" s="1" t="s">
        <v>72</v>
      </c>
      <c r="H1086" s="1">
        <v>0.9961402</v>
      </c>
      <c r="I1086" s="1" t="s">
        <v>1041</v>
      </c>
    </row>
    <row r="1087">
      <c r="A1087" s="2" t="str">
        <f>HYPERLINK("https://ui.adsabs.harvard.edu/abs/2019Quant...3..136F/abstract","2019Quant...3..136F")</f>
        <v>2019Quant...3..136F</v>
      </c>
      <c r="B1087" s="2" t="str">
        <f>HYPERLINK("https://ui.adsabs.harvard.edu/abs/2018arXiv180210344F/abstract","2018arXiv180210344F")</f>
        <v>2018arXiv180210344F</v>
      </c>
      <c r="C1087" s="1" t="s">
        <v>70</v>
      </c>
      <c r="E1087" s="2" t="str">
        <f>HYPERLINK("https://ui.adsabs.harvard.edu/abs/2018arXiv180210344F/abstract","2018arXiv180210344F")</f>
        <v>2018arXiv180210344F</v>
      </c>
      <c r="G1087" s="1" t="s">
        <v>72</v>
      </c>
      <c r="H1087" s="1">
        <v>0.9961402</v>
      </c>
      <c r="I1087" s="1" t="s">
        <v>1041</v>
      </c>
    </row>
    <row r="1088">
      <c r="A1088" s="2" t="str">
        <f>HYPERLINK("https://ui.adsabs.harvard.edu/abs/2019Quant...3..138B/abstract","2019Quant...3..138B")</f>
        <v>2019Quant...3..138B</v>
      </c>
      <c r="B1088" s="2" t="str">
        <f>HYPERLINK("https://ui.adsabs.harvard.edu/abs/2018arXiv180608018B/abstract","2018arXiv180608018B")</f>
        <v>2018arXiv180608018B</v>
      </c>
      <c r="C1088" s="1" t="s">
        <v>70</v>
      </c>
      <c r="E1088" s="2" t="str">
        <f>HYPERLINK("https://ui.adsabs.harvard.edu/abs/2018arXiv180608018B/abstract","2018arXiv180608018B")</f>
        <v>2018arXiv180608018B</v>
      </c>
      <c r="G1088" s="1" t="s">
        <v>72</v>
      </c>
      <c r="H1088" s="1">
        <v>0.9961402</v>
      </c>
      <c r="I1088" s="1" t="s">
        <v>1041</v>
      </c>
    </row>
    <row r="1089">
      <c r="A1089" s="2" t="str">
        <f>HYPERLINK("https://ui.adsabs.harvard.edu/abs/2019Quant...3..139K/abstract","2019Quant...3..139K")</f>
        <v>2019Quant...3..139K</v>
      </c>
      <c r="B1089" s="2" t="str">
        <f>HYPERLINK("https://ui.adsabs.harvard.edu/abs/2018arXiv180605405K/abstract","2018arXiv180605405K")</f>
        <v>2018arXiv180605405K</v>
      </c>
      <c r="C1089" s="1" t="s">
        <v>70</v>
      </c>
      <c r="E1089" s="2" t="str">
        <f>HYPERLINK("https://ui.adsabs.harvard.edu/abs/2018arXiv180605405K/abstract","2018arXiv180605405K")</f>
        <v>2018arXiv180605405K</v>
      </c>
      <c r="G1089" s="1" t="s">
        <v>72</v>
      </c>
      <c r="H1089" s="1">
        <v>0.9961402</v>
      </c>
      <c r="I1089" s="1" t="s">
        <v>1041</v>
      </c>
    </row>
    <row r="1090">
      <c r="A1090" s="2" t="str">
        <f>HYPERLINK("https://ui.adsabs.harvard.edu/abs/2019Quant...3..140K/abstract","2019Quant...3..140K")</f>
        <v>2019Quant...3..140K</v>
      </c>
      <c r="B1090" s="2" t="str">
        <f>HYPERLINK("https://ui.adsabs.harvard.edu/abs/2018arXiv180700800K/abstract","2018arXiv180700800K")</f>
        <v>2018arXiv180700800K</v>
      </c>
      <c r="C1090" s="1" t="s">
        <v>70</v>
      </c>
      <c r="E1090" s="2" t="str">
        <f>HYPERLINK("https://ui.adsabs.harvard.edu/abs/2018arXiv180700800K/abstract","2018arXiv180700800K")</f>
        <v>2018arXiv180700800K</v>
      </c>
      <c r="G1090" s="1" t="s">
        <v>72</v>
      </c>
      <c r="H1090" s="1">
        <v>0.9961402</v>
      </c>
      <c r="I1090" s="1" t="s">
        <v>1041</v>
      </c>
    </row>
    <row r="1091">
      <c r="A1091" s="2" t="str">
        <f>HYPERLINK("https://ui.adsabs.harvard.edu/abs/2019Quant...3..141H/abstract","2019Quant...3..141H")</f>
        <v>2019Quant...3..141H</v>
      </c>
      <c r="B1091" s="2" t="str">
        <f>HYPERLINK("https://ui.adsabs.harvard.edu/abs/2018arXiv180106926H/abstract","2018arXiv180106926H")</f>
        <v>2018arXiv180106926H</v>
      </c>
      <c r="C1091" s="1" t="s">
        <v>70</v>
      </c>
      <c r="E1091" s="2" t="str">
        <f>HYPERLINK("https://ui.adsabs.harvard.edu/abs/2018arXiv180106926H/abstract","2018arXiv180106926H")</f>
        <v>2018arXiv180106926H</v>
      </c>
      <c r="G1091" s="1" t="s">
        <v>72</v>
      </c>
      <c r="H1091" s="1">
        <v>0.9961402</v>
      </c>
      <c r="I1091" s="1" t="s">
        <v>1041</v>
      </c>
    </row>
    <row r="1092">
      <c r="A1092" s="2" t="str">
        <f>HYPERLINK("https://ui.adsabs.harvard.edu/abs/2019Quant...3..145H/abstract","2019Quant...3..145H")</f>
        <v>2019Quant...3..145H</v>
      </c>
      <c r="B1092" s="2" t="str">
        <f>HYPERLINK("https://ui.adsabs.harvard.edu/abs/2019arXiv190103884H/abstract","2019arXiv190103884H")</f>
        <v>2019arXiv190103884H</v>
      </c>
      <c r="C1092" s="1" t="s">
        <v>70</v>
      </c>
      <c r="E1092" s="2" t="str">
        <f>HYPERLINK("https://ui.adsabs.harvard.edu/abs/2019arXiv190103884H/abstract","2019arXiv190103884H")</f>
        <v>2019arXiv190103884H</v>
      </c>
      <c r="G1092" s="1" t="s">
        <v>72</v>
      </c>
      <c r="H1092" s="1">
        <v>0.9961402</v>
      </c>
      <c r="I1092" s="1" t="s">
        <v>1041</v>
      </c>
    </row>
    <row r="1093">
      <c r="A1093" s="2" t="str">
        <f>HYPERLINK("https://ui.adsabs.harvard.edu/abs/2019Quant...3..148J/abstract","2019Quant...3..148J")</f>
        <v>2019Quant...3..148J</v>
      </c>
      <c r="B1093" s="2" t="str">
        <f>HYPERLINK("https://ui.adsabs.harvard.edu/abs/2018arXiv181112407J/abstract","2018arXiv181112407J")</f>
        <v>2018arXiv181112407J</v>
      </c>
      <c r="C1093" s="1" t="s">
        <v>70</v>
      </c>
      <c r="E1093" s="2" t="str">
        <f>HYPERLINK("https://ui.adsabs.harvard.edu/abs/2018arXiv181112407J/abstract","2018arXiv181112407J")</f>
        <v>2018arXiv181112407J</v>
      </c>
      <c r="G1093" s="1" t="s">
        <v>72</v>
      </c>
      <c r="H1093" s="1">
        <v>0.9961402</v>
      </c>
      <c r="I1093" s="1" t="s">
        <v>1041</v>
      </c>
    </row>
    <row r="1094">
      <c r="A1094" s="2" t="str">
        <f>HYPERLINK("https://ui.adsabs.harvard.edu/abs/2019Quant...3..149T/abstract","2019Quant...3..149T")</f>
        <v>2019Quant...3..149T</v>
      </c>
      <c r="B1094" s="2" t="str">
        <f>HYPERLINK("https://ui.adsabs.harvard.edu/abs/2018arXiv180300735T/abstract","2018arXiv180300735T")</f>
        <v>2018arXiv180300735T</v>
      </c>
      <c r="C1094" s="1" t="s">
        <v>70</v>
      </c>
      <c r="E1094" s="2" t="str">
        <f>HYPERLINK("https://ui.adsabs.harvard.edu/abs/2018arXiv180300735T/abstract","2018arXiv180300735T")</f>
        <v>2018arXiv180300735T</v>
      </c>
      <c r="G1094" s="1" t="s">
        <v>72</v>
      </c>
      <c r="H1094" s="1">
        <v>0.9961402</v>
      </c>
      <c r="I1094" s="1" t="s">
        <v>1041</v>
      </c>
    </row>
    <row r="1095">
      <c r="A1095" s="2" t="str">
        <f>HYPERLINK("https://ui.adsabs.harvard.edu/abs/2019Quant...3..150V/abstract","2019Quant...3..150V")</f>
        <v>2019Quant...3..150V</v>
      </c>
      <c r="B1095" s="2" t="str">
        <f>HYPERLINK("https://ui.adsabs.harvard.edu/abs/2018arXiv180909737V/abstract","2018arXiv180909737V")</f>
        <v>2018arXiv180909737V</v>
      </c>
      <c r="C1095" s="1" t="s">
        <v>70</v>
      </c>
      <c r="E1095" s="2" t="str">
        <f>HYPERLINK("https://ui.adsabs.harvard.edu/abs/2018arXiv180909737V/abstract","2018arXiv180909737V")</f>
        <v>2018arXiv180909737V</v>
      </c>
      <c r="G1095" s="1" t="s">
        <v>72</v>
      </c>
      <c r="H1095" s="1">
        <v>0.9961402</v>
      </c>
      <c r="I1095" s="1" t="s">
        <v>1041</v>
      </c>
    </row>
    <row r="1096">
      <c r="A1096" s="2" t="str">
        <f>HYPERLINK("https://ui.adsabs.harvard.edu/abs/2019Quant...3..151A/abstract","2019Quant...3..151A")</f>
        <v>2019Quant...3..151A</v>
      </c>
      <c r="B1096" s="2" t="str">
        <f>HYPERLINK("https://ui.adsabs.harvard.edu/abs/2018arXiv180300109A/abstract","2018arXiv180300109A")</f>
        <v>2018arXiv180300109A</v>
      </c>
      <c r="C1096" s="1" t="s">
        <v>70</v>
      </c>
      <c r="E1096" s="2" t="str">
        <f>HYPERLINK("https://ui.adsabs.harvard.edu/abs/2018arXiv180300109A/abstract","2018arXiv180300109A")</f>
        <v>2018arXiv180300109A</v>
      </c>
      <c r="G1096" s="1" t="s">
        <v>72</v>
      </c>
      <c r="H1096" s="1">
        <v>0.9961402</v>
      </c>
      <c r="I1096" s="1" t="s">
        <v>1041</v>
      </c>
    </row>
    <row r="1097">
      <c r="A1097" s="2" t="str">
        <f>HYPERLINK("https://ui.adsabs.harvard.edu/abs/2019Quant...3..152B/abstract","2019Quant...3..152B")</f>
        <v>2019Quant...3..152B</v>
      </c>
      <c r="B1097" s="2" t="str">
        <f>HYPERLINK("https://ui.adsabs.harvard.edu/abs/2018arXiv180702036B/abstract","2018arXiv180702036B")</f>
        <v>2018arXiv180702036B</v>
      </c>
      <c r="C1097" s="1" t="s">
        <v>70</v>
      </c>
      <c r="E1097" s="2" t="str">
        <f>HYPERLINK("https://ui.adsabs.harvard.edu/abs/2018arXiv180702036B/abstract","2018arXiv180702036B")</f>
        <v>2018arXiv180702036B</v>
      </c>
      <c r="G1097" s="1" t="s">
        <v>72</v>
      </c>
      <c r="H1097" s="1">
        <v>0.9961402</v>
      </c>
      <c r="I1097" s="1" t="s">
        <v>1041</v>
      </c>
    </row>
    <row r="1098">
      <c r="A1098" s="2" t="str">
        <f>HYPERLINK("https://ui.adsabs.harvard.edu/abs/2019Quant...3..155N/abstract","2019Quant...3..155N")</f>
        <v>2019Quant...3..155N</v>
      </c>
      <c r="B1098" s="2" t="str">
        <f>HYPERLINK("https://ui.adsabs.harvard.edu/abs/2018arXiv181208474N/abstract","2018arXiv181208474N")</f>
        <v>2018arXiv181208474N</v>
      </c>
      <c r="C1098" s="1" t="s">
        <v>70</v>
      </c>
      <c r="E1098" s="2" t="str">
        <f>HYPERLINK("https://ui.adsabs.harvard.edu/abs/2018arXiv181208474N/abstract","2018arXiv181208474N")</f>
        <v>2018arXiv181208474N</v>
      </c>
      <c r="G1098" s="1" t="s">
        <v>72</v>
      </c>
      <c r="H1098" s="1">
        <v>0.9961402</v>
      </c>
      <c r="I1098" s="1" t="s">
        <v>1041</v>
      </c>
    </row>
    <row r="1099">
      <c r="A1099" s="2" t="str">
        <f>HYPERLINK("https://ui.adsabs.harvard.edu/abs/2019Quant...3..156H/abstract","2019Quant...3..156H")</f>
        <v>2019Quant...3..156H</v>
      </c>
      <c r="B1099" s="2" t="str">
        <f>HYPERLINK("https://ui.adsabs.harvard.edu/abs/2018arXiv180508138H/abstract","2018arXiv180508138H")</f>
        <v>2018arXiv180508138H</v>
      </c>
      <c r="C1099" s="1" t="s">
        <v>70</v>
      </c>
      <c r="E1099" s="2" t="str">
        <f>HYPERLINK("https://ui.adsabs.harvard.edu/abs/2018arXiv180508138H/abstract","2018arXiv180508138H")</f>
        <v>2018arXiv180508138H</v>
      </c>
      <c r="G1099" s="1" t="s">
        <v>72</v>
      </c>
      <c r="H1099" s="1">
        <v>0.9961402</v>
      </c>
      <c r="I1099" s="1" t="s">
        <v>1041</v>
      </c>
    </row>
    <row r="1100">
      <c r="A1100" s="2" t="str">
        <f>HYPERLINK("https://ui.adsabs.harvard.edu/abs/2019Quant...3..157H/abstract","2019Quant...3..157H")</f>
        <v>2019Quant...3..157H</v>
      </c>
      <c r="B1100" s="2" t="str">
        <f>HYPERLINK("https://ui.adsabs.harvard.edu/abs/2018arXiv180807376H/abstract","2018arXiv180807376H")</f>
        <v>2018arXiv180807376H</v>
      </c>
      <c r="C1100" s="1" t="s">
        <v>70</v>
      </c>
      <c r="E1100" s="2" t="str">
        <f>HYPERLINK("https://ui.adsabs.harvard.edu/abs/2018arXiv180807376H/abstract","2018arXiv180807376H")</f>
        <v>2018arXiv180807376H</v>
      </c>
      <c r="G1100" s="1" t="s">
        <v>72</v>
      </c>
      <c r="H1100" s="1">
        <v>0.9961402</v>
      </c>
      <c r="I1100" s="1" t="s">
        <v>1041</v>
      </c>
    </row>
    <row r="1101">
      <c r="A1101" s="2" t="str">
        <f>HYPERLINK("https://ui.adsabs.harvard.edu/abs/2019Quant...3..162M/abstract","2019Quant...3..162M")</f>
        <v>2019Quant...3..162M</v>
      </c>
      <c r="B1101" s="2" t="str">
        <f>HYPERLINK("https://ui.adsabs.harvard.edu/abs/2018arXiv180611282M/abstract","2018arXiv180611282M")</f>
        <v>2018arXiv180611282M</v>
      </c>
      <c r="C1101" s="1" t="s">
        <v>70</v>
      </c>
      <c r="E1101" s="2" t="str">
        <f>HYPERLINK("https://ui.adsabs.harvard.edu/abs/2018arXiv180611282M/abstract","2018arXiv180611282M")</f>
        <v>2018arXiv180611282M</v>
      </c>
      <c r="G1101" s="1" t="s">
        <v>72</v>
      </c>
      <c r="H1101" s="1">
        <v>0.9961402</v>
      </c>
      <c r="I1101" s="1" t="s">
        <v>1041</v>
      </c>
    </row>
    <row r="1102">
      <c r="A1102" s="2" t="str">
        <f>HYPERLINK("https://ui.adsabs.harvard.edu/abs/2019Quant...3..165H/abstract","2019Quant...3..165H")</f>
        <v>2019Quant...3..165H</v>
      </c>
      <c r="B1102" s="2" t="str">
        <f>HYPERLINK("https://ui.adsabs.harvard.edu/abs/2019arXiv190406246H/abstract","2019arXiv190406246H")</f>
        <v>2019arXiv190406246H</v>
      </c>
      <c r="C1102" s="1" t="s">
        <v>70</v>
      </c>
      <c r="E1102" s="2" t="str">
        <f>HYPERLINK("https://ui.adsabs.harvard.edu/abs/2019arXiv190406246H/abstract","2019arXiv190406246H")</f>
        <v>2019arXiv190406246H</v>
      </c>
      <c r="G1102" s="1" t="s">
        <v>72</v>
      </c>
      <c r="H1102" s="1">
        <v>0.9961402</v>
      </c>
      <c r="I1102" s="1" t="s">
        <v>1041</v>
      </c>
    </row>
    <row r="1103">
      <c r="A1103" s="2" t="str">
        <f>HYPERLINK("https://ui.adsabs.harvard.edu/abs/2019Quant...3..166E/abstract","2019Quant...3..166E")</f>
        <v>2019Quant...3..166E</v>
      </c>
      <c r="B1103" s="2" t="str">
        <f>HYPERLINK("https://ui.adsabs.harvard.edu/abs/2018arXiv180702487E/abstract","2018arXiv180702487E")</f>
        <v>2018arXiv180702487E</v>
      </c>
      <c r="C1103" s="1" t="s">
        <v>70</v>
      </c>
      <c r="E1103" s="2" t="str">
        <f>HYPERLINK("https://ui.adsabs.harvard.edu/abs/2018arXiv180702487E/abstract","2018arXiv180702487E")</f>
        <v>2018arXiv180702487E</v>
      </c>
      <c r="G1103" s="1" t="s">
        <v>72</v>
      </c>
      <c r="H1103" s="1">
        <v>0.9961402</v>
      </c>
      <c r="I1103" s="1" t="s">
        <v>1041</v>
      </c>
    </row>
    <row r="1104">
      <c r="A1104" s="2" t="str">
        <f>HYPERLINK("https://ui.adsabs.harvard.edu/abs/2019Quant...3..167C/abstract","2019Quant...3..167C")</f>
        <v>2019Quant...3..167C</v>
      </c>
      <c r="B1104" s="2" t="str">
        <f>HYPERLINK("https://ui.adsabs.harvard.edu/abs/2018arXiv181005582C/abstract","2018arXiv181005582C")</f>
        <v>2018arXiv181005582C</v>
      </c>
      <c r="C1104" s="1" t="s">
        <v>70</v>
      </c>
      <c r="E1104" s="2" t="str">
        <f>HYPERLINK("https://ui.adsabs.harvard.edu/abs/2018arXiv181005582C/abstract","2018arXiv181005582C")</f>
        <v>2018arXiv181005582C</v>
      </c>
      <c r="G1104" s="1" t="s">
        <v>72</v>
      </c>
      <c r="H1104" s="1">
        <v>0.9961402</v>
      </c>
      <c r="I1104" s="1" t="s">
        <v>1041</v>
      </c>
    </row>
    <row r="1105">
      <c r="A1105" s="2" t="str">
        <f>HYPERLINK("https://ui.adsabs.harvard.edu/abs/2019Quant...3..168C/abstract","2019Quant...3..168C")</f>
        <v>2019Quant...3..168C</v>
      </c>
      <c r="B1105" s="2" t="str">
        <f>HYPERLINK("https://ui.adsabs.harvard.edu/abs/2018arXiv180608742C/abstract","2018arXiv180608742C")</f>
        <v>2018arXiv180608742C</v>
      </c>
      <c r="C1105" s="1" t="s">
        <v>70</v>
      </c>
      <c r="E1105" s="2" t="str">
        <f>HYPERLINK("https://ui.adsabs.harvard.edu/abs/2018arXiv180608742C/abstract","2018arXiv180608742C")</f>
        <v>2018arXiv180608742C</v>
      </c>
      <c r="G1105" s="1" t="s">
        <v>72</v>
      </c>
      <c r="H1105" s="1">
        <v>0.9961402</v>
      </c>
      <c r="I1105" s="1" t="s">
        <v>1041</v>
      </c>
    </row>
    <row r="1106">
      <c r="A1106" s="2" t="str">
        <f>HYPERLINK("https://ui.adsabs.harvard.edu/abs/2019Quant...3..170Q/abstract","2019Quant...3..170Q")</f>
        <v>2019Quant...3..170Q</v>
      </c>
      <c r="B1106" s="2" t="str">
        <f>HYPERLINK("https://ui.adsabs.harvard.edu/abs/2019arXiv190202359Q/abstract","2019arXiv190202359Q")</f>
        <v>2019arXiv190202359Q</v>
      </c>
      <c r="C1106" s="1" t="s">
        <v>70</v>
      </c>
      <c r="E1106" s="2" t="str">
        <f>HYPERLINK("https://ui.adsabs.harvard.edu/abs/2019arXiv190202359Q/abstract","2019arXiv190202359Q")</f>
        <v>2019arXiv190202359Q</v>
      </c>
      <c r="G1106" s="1" t="s">
        <v>72</v>
      </c>
      <c r="H1106" s="1">
        <v>0.9961402</v>
      </c>
      <c r="I1106" s="1" t="s">
        <v>1041</v>
      </c>
    </row>
    <row r="1107">
      <c r="A1107" s="2" t="str">
        <f>HYPERLINK("https://ui.adsabs.harvard.edu/abs/2019Quant...3..172J/abstract","2019Quant...3..172J")</f>
        <v>2019Quant...3..172J</v>
      </c>
      <c r="B1107" s="2" t="str">
        <f>HYPERLINK("https://ui.adsabs.harvard.edu/abs/2019arXiv190604517J/abstract","2019arXiv190604517J")</f>
        <v>2019arXiv190604517J</v>
      </c>
      <c r="C1107" s="1" t="s">
        <v>70</v>
      </c>
      <c r="E1107" s="2" t="str">
        <f>HYPERLINK("https://ui.adsabs.harvard.edu/abs/2019arXiv190604517J/abstract","2019arXiv190604517J")</f>
        <v>2019arXiv190604517J</v>
      </c>
      <c r="G1107" s="1" t="s">
        <v>72</v>
      </c>
      <c r="H1107" s="1">
        <v>0.9961402</v>
      </c>
      <c r="I1107" s="1" t="s">
        <v>1041</v>
      </c>
    </row>
    <row r="1108">
      <c r="A1108" s="2" t="str">
        <f>HYPERLINK("https://ui.adsabs.harvard.edu/abs/2019Quant...3..173C/abstract","2019Quant...3..173C")</f>
        <v>2019Quant...3..173C</v>
      </c>
      <c r="B1108" s="2" t="str">
        <f>HYPERLINK("https://ui.adsabs.harvard.edu/abs/2019arXiv190408897C/abstract","2019arXiv190408897C")</f>
        <v>2019arXiv190408897C</v>
      </c>
      <c r="C1108" s="1" t="s">
        <v>70</v>
      </c>
      <c r="E1108" s="2" t="str">
        <f>HYPERLINK("https://ui.adsabs.harvard.edu/abs/2019arXiv190408897C/abstract","2019arXiv190408897C")</f>
        <v>2019arXiv190408897C</v>
      </c>
      <c r="G1108" s="1" t="s">
        <v>72</v>
      </c>
      <c r="H1108" s="1">
        <v>0.9961402</v>
      </c>
      <c r="I1108" s="1" t="s">
        <v>1041</v>
      </c>
    </row>
    <row r="1109">
      <c r="A1109" s="2" t="str">
        <f>HYPERLINK("https://ui.adsabs.harvard.edu/abs/2019Quant...3..178P/abstract","2019Quant...3..178P")</f>
        <v>2019Quant...3..178P</v>
      </c>
      <c r="B1109" s="2" t="str">
        <f>HYPERLINK("https://ui.adsabs.harvard.edu/abs/2018arXiv181204374P/abstract","2018arXiv181204374P")</f>
        <v>2018arXiv181204374P</v>
      </c>
      <c r="C1109" s="1" t="s">
        <v>70</v>
      </c>
      <c r="E1109" s="2" t="str">
        <f>HYPERLINK("https://ui.adsabs.harvard.edu/abs/2018arXiv181204374P/abstract","2018arXiv181204374P")</f>
        <v>2018arXiv181204374P</v>
      </c>
      <c r="G1109" s="1" t="s">
        <v>72</v>
      </c>
      <c r="H1109" s="1">
        <v>0.9961402</v>
      </c>
      <c r="I1109" s="1" t="s">
        <v>1041</v>
      </c>
    </row>
    <row r="1110">
      <c r="A1110" s="2" t="str">
        <f>HYPERLINK("https://ui.adsabs.harvard.edu/abs/2019Quant...3..179F/abstract","2019Quant...3..179F")</f>
        <v>2019Quant...3..179F</v>
      </c>
      <c r="B1110" s="2" t="str">
        <f>HYPERLINK("https://ui.adsabs.harvard.edu/abs/2018arXiv181010261F/abstract","2018arXiv181010261F")</f>
        <v>2018arXiv181010261F</v>
      </c>
      <c r="C1110" s="1" t="s">
        <v>70</v>
      </c>
      <c r="E1110" s="2" t="str">
        <f>HYPERLINK("https://ui.adsabs.harvard.edu/abs/2018arXiv181010261F/abstract","2018arXiv181010261F")</f>
        <v>2018arXiv181010261F</v>
      </c>
      <c r="G1110" s="1" t="s">
        <v>72</v>
      </c>
      <c r="H1110" s="1">
        <v>0.9961402</v>
      </c>
      <c r="I1110" s="1" t="s">
        <v>1041</v>
      </c>
    </row>
    <row r="1111">
      <c r="A1111" s="2" t="str">
        <f>HYPERLINK("https://ui.adsabs.harvard.edu/abs/2019Quant...3..180L/abstract","2019Quant...3..180L")</f>
        <v>2019Quant...3..180L</v>
      </c>
      <c r="B1111" s="2" t="str">
        <f>HYPERLINK("https://ui.adsabs.harvard.edu/abs/2019arXiv190111029L/abstract","2019arXiv190111029L")</f>
        <v>2019arXiv190111029L</v>
      </c>
      <c r="C1111" s="1" t="s">
        <v>70</v>
      </c>
      <c r="E1111" s="2" t="str">
        <f>HYPERLINK("https://ui.adsabs.harvard.edu/abs/2019arXiv190111029L/abstract","2019arXiv190111029L")</f>
        <v>2019arXiv190111029L</v>
      </c>
      <c r="G1111" s="1" t="s">
        <v>72</v>
      </c>
      <c r="H1111" s="1">
        <v>0.9961402</v>
      </c>
      <c r="I1111" s="1" t="s">
        <v>1041</v>
      </c>
    </row>
    <row r="1112">
      <c r="A1112" s="2" t="str">
        <f>HYPERLINK("https://ui.adsabs.harvard.edu/abs/2019Quant...3..182C/abstract","2019Quant...3..182C")</f>
        <v>2019Quant...3..182C</v>
      </c>
      <c r="B1112" s="2" t="str">
        <f>HYPERLINK("https://ui.adsabs.harvard.edu/abs/2018arXiv180508385C/abstract","2018arXiv180508385C")</f>
        <v>2018arXiv180508385C</v>
      </c>
      <c r="C1112" s="1" t="s">
        <v>70</v>
      </c>
      <c r="E1112" s="2" t="str">
        <f>HYPERLINK("https://ui.adsabs.harvard.edu/abs/2018arXiv180508385C/abstract","2018arXiv180508385C")</f>
        <v>2018arXiv180508385C</v>
      </c>
      <c r="G1112" s="1" t="s">
        <v>72</v>
      </c>
      <c r="H1112" s="1">
        <v>0.9961402</v>
      </c>
      <c r="I1112" s="1" t="s">
        <v>1041</v>
      </c>
    </row>
    <row r="1113">
      <c r="A1113" s="2" t="str">
        <f>HYPERLINK("https://ui.adsabs.harvard.edu/abs/2019Quant...3..183A/abstract","2019Quant...3..183A")</f>
        <v>2019Quant...3..183A</v>
      </c>
      <c r="B1113" s="2" t="str">
        <f>HYPERLINK("https://ui.adsabs.harvard.edu/abs/2018arXiv181112338A/abstract","2018arXiv181112338A")</f>
        <v>2018arXiv181112338A</v>
      </c>
      <c r="C1113" s="1" t="s">
        <v>70</v>
      </c>
      <c r="E1113" s="2" t="str">
        <f>HYPERLINK("https://ui.adsabs.harvard.edu/abs/2018arXiv181112338A/abstract","2018arXiv181112338A")</f>
        <v>2018arXiv181112338A</v>
      </c>
      <c r="G1113" s="1" t="s">
        <v>72</v>
      </c>
      <c r="H1113" s="1">
        <v>0.9961402</v>
      </c>
      <c r="I1113" s="1" t="s">
        <v>1041</v>
      </c>
    </row>
    <row r="1114">
      <c r="A1114" s="2" t="str">
        <f>HYPERLINK("https://ui.adsabs.harvard.edu/abs/2019Quant...3..190H/abstract","2019Quant...3..190H")</f>
        <v>2019Quant...3..190H</v>
      </c>
      <c r="B1114" s="2" t="str">
        <f>HYPERLINK("https://ui.adsabs.harvard.edu/abs/2018arXiv180610236H/abstract","2018arXiv180610236H")</f>
        <v>2018arXiv180610236H</v>
      </c>
      <c r="C1114" s="1" t="s">
        <v>70</v>
      </c>
      <c r="E1114" s="2" t="str">
        <f>HYPERLINK("https://ui.adsabs.harvard.edu/abs/2018arXiv180610236H/abstract","2018arXiv180610236H")</f>
        <v>2018arXiv180610236H</v>
      </c>
      <c r="G1114" s="1" t="s">
        <v>72</v>
      </c>
      <c r="H1114" s="1">
        <v>0.9961402</v>
      </c>
      <c r="I1114" s="1" t="s">
        <v>1041</v>
      </c>
    </row>
    <row r="1115">
      <c r="A1115" s="2" t="str">
        <f>HYPERLINK("https://ui.adsabs.harvard.edu/abs/2019Quant...3..191Y/abstract","2019Quant...3..191Y")</f>
        <v>2019Quant...3..191Y</v>
      </c>
      <c r="B1115" s="2" t="str">
        <f>HYPERLINK("https://ui.adsabs.harvard.edu/abs/2018arXiv181208767Y/abstract","2018arXiv181208767Y")</f>
        <v>2018arXiv181208767Y</v>
      </c>
      <c r="C1115" s="1" t="s">
        <v>70</v>
      </c>
      <c r="E1115" s="2" t="str">
        <f>HYPERLINK("https://ui.adsabs.harvard.edu/abs/2018arXiv181208767Y/abstract","2018arXiv181208767Y")</f>
        <v>2018arXiv181208767Y</v>
      </c>
      <c r="G1115" s="1" t="s">
        <v>72</v>
      </c>
      <c r="H1115" s="1">
        <v>0.9961402</v>
      </c>
      <c r="I1115" s="1" t="s">
        <v>1041</v>
      </c>
    </row>
    <row r="1116">
      <c r="A1116" s="2" t="str">
        <f>HYPERLINK("https://ui.adsabs.harvard.edu/abs/2019Quant...3..192W/abstract","2019Quant...3..192W")</f>
        <v>2019Quant...3..192W</v>
      </c>
      <c r="B1116" s="2" t="str">
        <f>HYPERLINK("https://ui.adsabs.harvard.edu/abs/2019arXiv190510935W/abstract","2019arXiv190510935W")</f>
        <v>2019arXiv190510935W</v>
      </c>
      <c r="C1116" s="1" t="s">
        <v>70</v>
      </c>
      <c r="E1116" s="2" t="str">
        <f>HYPERLINK("https://ui.adsabs.harvard.edu/abs/2019arXiv190510935W/abstract","2019arXiv190510935W")</f>
        <v>2019arXiv190510935W</v>
      </c>
      <c r="G1116" s="1" t="s">
        <v>72</v>
      </c>
      <c r="H1116" s="1">
        <v>0.9961402</v>
      </c>
      <c r="I1116" s="1" t="s">
        <v>1041</v>
      </c>
    </row>
    <row r="1117">
      <c r="A1117" s="2" t="str">
        <f>HYPERLINK("https://ui.adsabs.harvard.edu/abs/2019Quant...3..194A/abstract","2019Quant...3..194A")</f>
        <v>2019Quant...3..194A</v>
      </c>
      <c r="B1117" s="2" t="str">
        <f>HYPERLINK("https://ui.adsabs.harvard.edu/abs/2018arXiv180509364A/abstract","2018arXiv180509364A")</f>
        <v>2018arXiv180509364A</v>
      </c>
      <c r="C1117" s="1" t="s">
        <v>70</v>
      </c>
      <c r="E1117" s="2" t="str">
        <f>HYPERLINK("https://ui.adsabs.harvard.edu/abs/2018arXiv180509364A/abstract","2018arXiv180509364A")</f>
        <v>2018arXiv180509364A</v>
      </c>
      <c r="G1117" s="1" t="s">
        <v>72</v>
      </c>
      <c r="H1117" s="1">
        <v>0.9961402</v>
      </c>
      <c r="I1117" s="1" t="s">
        <v>1041</v>
      </c>
    </row>
    <row r="1118">
      <c r="A1118" s="2" t="str">
        <f>HYPERLINK("https://ui.adsabs.harvard.edu/abs/2019Quant...3..195N/abstract","2019Quant...3..195N")</f>
        <v>2019Quant...3..195N</v>
      </c>
      <c r="B1118" s="2" t="str">
        <f>HYPERLINK("https://ui.adsabs.harvard.edu/abs/2019arXiv190701353N/abstract","2019arXiv190701353N")</f>
        <v>2019arXiv190701353N</v>
      </c>
      <c r="C1118" s="1" t="s">
        <v>70</v>
      </c>
      <c r="E1118" s="2" t="str">
        <f>HYPERLINK("https://ui.adsabs.harvard.edu/abs/2019arXiv190701353N/abstract","2019arXiv190701353N")</f>
        <v>2019arXiv190701353N</v>
      </c>
      <c r="G1118" s="1" t="s">
        <v>72</v>
      </c>
      <c r="H1118" s="1">
        <v>0.9961402</v>
      </c>
      <c r="I1118" s="1" t="s">
        <v>1041</v>
      </c>
    </row>
    <row r="1119">
      <c r="A1119" s="2" t="str">
        <f>HYPERLINK("https://ui.adsabs.harvard.edu/abs/2019Quant...3..196H/abstract","2019Quant...3..196H")</f>
        <v>2019Quant...3..196H</v>
      </c>
      <c r="B1119" s="2" t="str">
        <f>HYPERLINK("https://ui.adsabs.harvard.edu/abs/2018arXiv180604154H/abstract","2018arXiv180604154H")</f>
        <v>2018arXiv180604154H</v>
      </c>
      <c r="C1119" s="1" t="s">
        <v>70</v>
      </c>
      <c r="E1119" s="2" t="str">
        <f>HYPERLINK("https://ui.adsabs.harvard.edu/abs/2018arXiv180604154H/abstract","2018arXiv180604154H")</f>
        <v>2018arXiv180604154H</v>
      </c>
      <c r="G1119" s="1" t="s">
        <v>72</v>
      </c>
      <c r="H1119" s="1">
        <v>0.9961402</v>
      </c>
      <c r="I1119" s="1" t="s">
        <v>1041</v>
      </c>
    </row>
    <row r="1120">
      <c r="A1120" s="2" t="str">
        <f>HYPERLINK("https://ui.adsabs.harvard.edu/abs/2019Quant...3..197S/abstract","2019Quant...3..197S")</f>
        <v>2019Quant...3..197S</v>
      </c>
      <c r="B1120" s="2" t="str">
        <f>HYPERLINK("https://ui.adsabs.harvard.edu/abs/2018arXiv181005583S/abstract","2018arXiv181005583S")</f>
        <v>2018arXiv181005583S</v>
      </c>
      <c r="C1120" s="1" t="s">
        <v>70</v>
      </c>
      <c r="E1120" s="2" t="str">
        <f>HYPERLINK("https://ui.adsabs.harvard.edu/abs/2018arXiv181005583S/abstract","2018arXiv181005583S")</f>
        <v>2018arXiv181005583S</v>
      </c>
      <c r="G1120" s="1" t="s">
        <v>72</v>
      </c>
      <c r="H1120" s="1">
        <v>0.9961402</v>
      </c>
      <c r="I1120" s="1" t="s">
        <v>1041</v>
      </c>
    </row>
    <row r="1121">
      <c r="A1121" s="2" t="str">
        <f>HYPERLINK("https://ui.adsabs.harvard.edu/abs/2019Quant...3..199C/abstract","2019Quant...3..199C")</f>
        <v>2019Quant...3..199C</v>
      </c>
      <c r="B1121" s="2" t="str">
        <f>HYPERLINK("https://ui.adsabs.harvard.edu/abs/2019arXiv190406562C/abstract","2019arXiv190406562C")</f>
        <v>2019arXiv190406562C</v>
      </c>
      <c r="C1121" s="1" t="s">
        <v>70</v>
      </c>
      <c r="E1121" s="2" t="str">
        <f>HYPERLINK("https://ui.adsabs.harvard.edu/abs/2019arXiv190406562C/abstract","2019arXiv190406562C")</f>
        <v>2019arXiv190406562C</v>
      </c>
      <c r="G1121" s="1" t="s">
        <v>72</v>
      </c>
      <c r="H1121" s="1">
        <v>0.9961402</v>
      </c>
      <c r="I1121" s="1" t="s">
        <v>1041</v>
      </c>
    </row>
    <row r="1122">
      <c r="A1122" s="2" t="str">
        <f>HYPERLINK("https://ui.adsabs.harvard.edu/abs/2019Quant...3..200C/abstract","2019Quant...3..200C")</f>
        <v>2019Quant...3..200C</v>
      </c>
      <c r="B1122" s="2" t="str">
        <f>HYPERLINK("https://ui.adsabs.harvard.edu/abs/2018arXiv181108105C/abstract","2018arXiv181108105C")</f>
        <v>2018arXiv181108105C</v>
      </c>
      <c r="C1122" s="1" t="s">
        <v>70</v>
      </c>
      <c r="E1122" s="2" t="str">
        <f>HYPERLINK("https://ui.adsabs.harvard.edu/abs/2018arXiv181108105C/abstract","2018arXiv181108105C")</f>
        <v>2018arXiv181108105C</v>
      </c>
      <c r="G1122" s="1" t="s">
        <v>72</v>
      </c>
      <c r="H1122" s="1">
        <v>0.9961402</v>
      </c>
      <c r="I1122" s="1" t="s">
        <v>1041</v>
      </c>
    </row>
    <row r="1123">
      <c r="A1123" s="2" t="str">
        <f>HYPERLINK("https://ui.adsabs.harvard.edu/abs/2019Quant...3..201H/abstract","2019Quant...3..201H")</f>
        <v>2019Quant...3..201H</v>
      </c>
      <c r="B1123" s="2" t="str">
        <f>HYPERLINK("https://ui.adsabs.harvard.edu/abs/2019arXiv190413339H/abstract","2019arXiv190413339H")</f>
        <v>2019arXiv190413339H</v>
      </c>
      <c r="C1123" s="1" t="s">
        <v>70</v>
      </c>
      <c r="E1123" s="2" t="str">
        <f>HYPERLINK("https://ui.adsabs.harvard.edu/abs/2019arXiv190413339H/abstract","2019arXiv190413339H")</f>
        <v>2019arXiv190413339H</v>
      </c>
      <c r="G1123" s="1" t="s">
        <v>72</v>
      </c>
      <c r="H1123" s="1">
        <v>0.9961402</v>
      </c>
      <c r="I1123" s="1" t="s">
        <v>1041</v>
      </c>
    </row>
    <row r="1124">
      <c r="A1124" s="2" t="str">
        <f>HYPERLINK("https://ui.adsabs.harvard.edu/abs/2019Quant...3..204S/abstract","2019Quant...3..204S")</f>
        <v>2019Quant...3..204S</v>
      </c>
      <c r="B1124" s="2" t="str">
        <f>HYPERLINK("https://ui.adsabs.harvard.edu/abs/2019arXiv190610798S/abstract","2019arXiv190610798S")</f>
        <v>2019arXiv190610798S</v>
      </c>
      <c r="C1124" s="1" t="s">
        <v>70</v>
      </c>
      <c r="E1124" s="2" t="str">
        <f>HYPERLINK("https://ui.adsabs.harvard.edu/abs/2019arXiv190610798S/abstract","2019arXiv190610798S")</f>
        <v>2019arXiv190610798S</v>
      </c>
      <c r="G1124" s="1" t="s">
        <v>72</v>
      </c>
      <c r="H1124" s="1">
        <v>0.9961402</v>
      </c>
      <c r="I1124" s="1" t="s">
        <v>1041</v>
      </c>
    </row>
    <row r="1125">
      <c r="A1125" s="2" t="str">
        <f>HYPERLINK("https://ui.adsabs.harvard.edu/abs/2019Quant...3..205L/abstract","2019Quant...3..205L")</f>
        <v>2019Quant...3..205L</v>
      </c>
      <c r="B1125" s="2" t="str">
        <f>HYPERLINK("https://ui.adsabs.harvard.edu/abs/2019arXiv190506903L/abstract","2019arXiv190506903L")</f>
        <v>2019arXiv190506903L</v>
      </c>
      <c r="C1125" s="1" t="s">
        <v>70</v>
      </c>
      <c r="E1125" s="2" t="str">
        <f>HYPERLINK("https://ui.adsabs.harvard.edu/abs/2019arXiv190506903L/abstract","2019arXiv190506903L")</f>
        <v>2019arXiv190506903L</v>
      </c>
      <c r="G1125" s="1" t="s">
        <v>72</v>
      </c>
      <c r="H1125" s="1">
        <v>0.9961402</v>
      </c>
      <c r="I1125" s="1" t="s">
        <v>1041</v>
      </c>
    </row>
    <row r="1126">
      <c r="A1126" s="2" t="str">
        <f>HYPERLINK("https://ui.adsabs.harvard.edu/abs/2019Quant...3..206O/abstract","2019Quant...3..206O")</f>
        <v>2019Quant...3..206O</v>
      </c>
      <c r="B1126" s="2" t="str">
        <f>HYPERLINK("https://ui.adsabs.harvard.edu/abs/2018arXiv180107594O/abstract","2018arXiv180107594O")</f>
        <v>2018arXiv180107594O</v>
      </c>
      <c r="C1126" s="1" t="s">
        <v>70</v>
      </c>
      <c r="E1126" s="2" t="str">
        <f>HYPERLINK("https://ui.adsabs.harvard.edu/abs/2018arXiv180107594O/abstract","2018arXiv180107594O")</f>
        <v>2018arXiv180107594O</v>
      </c>
      <c r="G1126" s="1" t="s">
        <v>72</v>
      </c>
      <c r="H1126" s="1">
        <v>0.9961402</v>
      </c>
      <c r="I1126" s="1" t="s">
        <v>1041</v>
      </c>
    </row>
    <row r="1127">
      <c r="A1127" s="2" t="str">
        <f>HYPERLINK("https://ui.adsabs.harvard.edu/abs/2019Quant...3..207N/abstract","2019Quant...3..207N")</f>
        <v>2019Quant...3..207N</v>
      </c>
      <c r="B1127" s="2" t="str">
        <f>HYPERLINK("https://ui.adsabs.harvard.edu/abs/2019arXiv190606206N/abstract","2019arXiv190606206N")</f>
        <v>2019arXiv190606206N</v>
      </c>
      <c r="C1127" s="1" t="s">
        <v>70</v>
      </c>
      <c r="E1127" s="2" t="str">
        <f>HYPERLINK("https://ui.adsabs.harvard.edu/abs/2019arXiv190606206N/abstract","2019arXiv190606206N")</f>
        <v>2019arXiv190606206N</v>
      </c>
      <c r="G1127" s="1" t="s">
        <v>72</v>
      </c>
      <c r="H1127" s="1">
        <v>0.9961402</v>
      </c>
      <c r="I1127" s="1" t="s">
        <v>1041</v>
      </c>
    </row>
    <row r="1128">
      <c r="A1128" s="2" t="str">
        <f>HYPERLINK("https://ui.adsabs.harvard.edu/abs/2019Quant...3..208B/abstract","2019Quant...3..208B")</f>
        <v>2019Quant...3..208B</v>
      </c>
      <c r="B1128" s="2" t="str">
        <f>HYPERLINK("https://ui.adsabs.harvard.edu/abs/2019arXiv190202134B/abstract","2019arXiv190202134B")</f>
        <v>2019arXiv190202134B</v>
      </c>
      <c r="C1128" s="1" t="s">
        <v>70</v>
      </c>
      <c r="E1128" s="2" t="str">
        <f>HYPERLINK("https://ui.adsabs.harvard.edu/abs/2019arXiv190202134B/abstract","2019arXiv190202134B")</f>
        <v>2019arXiv190202134B</v>
      </c>
      <c r="G1128" s="1" t="s">
        <v>72</v>
      </c>
      <c r="H1128" s="1">
        <v>0.9961402</v>
      </c>
      <c r="I1128" s="1" t="s">
        <v>1041</v>
      </c>
    </row>
    <row r="1129">
      <c r="A1129" s="2" t="str">
        <f>HYPERLINK("https://ui.adsabs.harvard.edu/abs/2019Quant...3..209B/abstract","2019Quant...3..209B")</f>
        <v>2019Quant...3..209B</v>
      </c>
      <c r="B1129" s="2" t="str">
        <f>HYPERLINK("https://ui.adsabs.harvard.edu/abs/2019arXiv190708539B/abstract","2019arXiv190708539B")</f>
        <v>2019arXiv190708539B</v>
      </c>
      <c r="C1129" s="1" t="s">
        <v>70</v>
      </c>
      <c r="E1129" s="2" t="str">
        <f>HYPERLINK("https://ui.adsabs.harvard.edu/abs/2019arXiv190708539B/abstract","2019arXiv190708539B")</f>
        <v>2019arXiv190708539B</v>
      </c>
      <c r="G1129" s="1" t="s">
        <v>72</v>
      </c>
      <c r="H1129" s="1">
        <v>0.9961402</v>
      </c>
      <c r="I1129" s="1" t="s">
        <v>1041</v>
      </c>
    </row>
    <row r="1130">
      <c r="A1130" s="2" t="str">
        <f>HYPERLINK("https://ui.adsabs.harvard.edu/abs/2019Quant...3..212C/abstract","2019Quant...3..212C")</f>
        <v>2019Quant...3..212C</v>
      </c>
      <c r="B1130" s="2" t="str">
        <f>HYPERLINK("https://ui.adsabs.harvard.edu/abs/2019arXiv190410378C/abstract","2019arXiv190410378C")</f>
        <v>2019arXiv190410378C</v>
      </c>
      <c r="C1130" s="1" t="s">
        <v>70</v>
      </c>
      <c r="E1130" s="2" t="str">
        <f>HYPERLINK("https://ui.adsabs.harvard.edu/abs/2019arXiv190410378C/abstract","2019arXiv190410378C")</f>
        <v>2019arXiv190410378C</v>
      </c>
      <c r="G1130" s="1" t="s">
        <v>72</v>
      </c>
      <c r="H1130" s="1">
        <v>0.9961402</v>
      </c>
      <c r="I1130" s="1" t="s">
        <v>1041</v>
      </c>
    </row>
    <row r="1131">
      <c r="A1131" s="2" t="str">
        <f>HYPERLINK("https://ui.adsabs.harvard.edu/abs/2019Quant...3..213D/abstract","2019Quant...3..213D")</f>
        <v>2019Quant...3..213D</v>
      </c>
      <c r="B1131" s="2" t="str">
        <f>HYPERLINK("https://ui.adsabs.harvard.edu/abs/2018arXiv180905164D/abstract","2018arXiv180905164D")</f>
        <v>2018arXiv180905164D</v>
      </c>
      <c r="C1131" s="1" t="s">
        <v>70</v>
      </c>
      <c r="E1131" s="2" t="str">
        <f>HYPERLINK("https://ui.adsabs.harvard.edu/abs/2018arXiv180905164D/abstract","2018arXiv180905164D")</f>
        <v>2018arXiv180905164D</v>
      </c>
      <c r="G1131" s="1" t="s">
        <v>72</v>
      </c>
      <c r="H1131" s="1">
        <v>0.9961402</v>
      </c>
      <c r="I1131" s="1" t="s">
        <v>1041</v>
      </c>
    </row>
    <row r="1132">
      <c r="A1132" s="2" t="str">
        <f>HYPERLINK("https://ui.adsabs.harvard.edu/abs/2019Quant...3..214G/abstract","2019Quant...3..214G")</f>
        <v>2019Quant...3..214G</v>
      </c>
      <c r="B1132" s="2" t="str">
        <f>HYPERLINK("https://ui.adsabs.harvard.edu/abs/2019arXiv190305076G/abstract","2019arXiv190305076G")</f>
        <v>2019arXiv190305076G</v>
      </c>
      <c r="C1132" s="1" t="s">
        <v>70</v>
      </c>
      <c r="E1132" s="2" t="str">
        <f>HYPERLINK("https://ui.adsabs.harvard.edu/abs/2019arXiv190305076G/abstract","2019arXiv190305076G")</f>
        <v>2019arXiv190305076G</v>
      </c>
      <c r="G1132" s="1" t="s">
        <v>72</v>
      </c>
      <c r="H1132" s="1">
        <v>0.9961402</v>
      </c>
      <c r="I1132" s="1" t="s">
        <v>1041</v>
      </c>
    </row>
    <row r="1133">
      <c r="A1133" s="2" t="str">
        <f>HYPERLINK("https://ui.adsabs.harvard.edu/abs/2020Quant...4..217O/abstract","2020Quant...4..217O")</f>
        <v>2020Quant...4..217O</v>
      </c>
      <c r="B1133" s="2" t="str">
        <f>HYPERLINK("https://ui.adsabs.harvard.edu/abs/2019arXiv190503822O/abstract","2019arXiv190503822O")</f>
        <v>2019arXiv190503822O</v>
      </c>
      <c r="C1133" s="1" t="s">
        <v>70</v>
      </c>
      <c r="E1133" s="2" t="str">
        <f>HYPERLINK("https://ui.adsabs.harvard.edu/abs/2019arXiv190503822O/abstract","2019arXiv190503822O")</f>
        <v>2019arXiv190503822O</v>
      </c>
      <c r="G1133" s="1" t="s">
        <v>72</v>
      </c>
      <c r="H1133" s="1">
        <v>0.9961402</v>
      </c>
      <c r="I1133" s="1" t="s">
        <v>1041</v>
      </c>
    </row>
    <row r="1134">
      <c r="A1134" s="2" t="str">
        <f>HYPERLINK("https://ui.adsabs.harvard.edu/abs/2020Quant...4..224G/abstract","2020Quant...4..224G")</f>
        <v>2020Quant...4..224G</v>
      </c>
      <c r="B1134" s="2" t="str">
        <f>HYPERLINK("https://ui.adsabs.harvard.edu/abs/2019arXiv190607570G/abstract","2019arXiv190607570G")</f>
        <v>2019arXiv190607570G</v>
      </c>
      <c r="C1134" s="1" t="s">
        <v>70</v>
      </c>
      <c r="E1134" s="2" t="str">
        <f>HYPERLINK("https://ui.adsabs.harvard.edu/abs/2019arXiv190607570G/abstract","2019arXiv190607570G")</f>
        <v>2019arXiv190607570G</v>
      </c>
      <c r="G1134" s="1" t="s">
        <v>72</v>
      </c>
      <c r="H1134" s="1">
        <v>0.9961402</v>
      </c>
      <c r="I1134" s="1" t="s">
        <v>1041</v>
      </c>
    </row>
    <row r="1135">
      <c r="A1135" s="2" t="str">
        <f>HYPERLINK("https://ui.adsabs.harvard.edu/abs/2020Quant...4..226P/abstract","2020Quant...4..226P")</f>
        <v>2020Quant...4..226P</v>
      </c>
      <c r="B1135" s="2" t="str">
        <f>HYPERLINK("https://ui.adsabs.harvard.edu/abs/2019arXiv190702085P/abstract","2019arXiv190702085P")</f>
        <v>2019arXiv190702085P</v>
      </c>
      <c r="C1135" s="1" t="s">
        <v>70</v>
      </c>
      <c r="E1135" s="2" t="str">
        <f>HYPERLINK("https://ui.adsabs.harvard.edu/abs/2019arXiv190702085P/abstract","2019arXiv190702085P")</f>
        <v>2019arXiv190702085P</v>
      </c>
      <c r="G1135" s="1" t="s">
        <v>72</v>
      </c>
      <c r="H1135" s="1">
        <v>0.9961402</v>
      </c>
      <c r="I1135" s="1" t="s">
        <v>1041</v>
      </c>
    </row>
    <row r="1136">
      <c r="A1136" s="2" t="str">
        <f>HYPERLINK("https://ui.adsabs.harvard.edu/abs/2020Quant...4..227M/abstract","2020Quant...4..227M")</f>
        <v>2020Quant...4..227M</v>
      </c>
      <c r="B1136" s="2" t="str">
        <f>HYPERLINK("https://ui.adsabs.harvard.edu/abs/2019arXiv190801095M/abstract","2019arXiv190801095M")</f>
        <v>2019arXiv190801095M</v>
      </c>
      <c r="C1136" s="1" t="s">
        <v>70</v>
      </c>
      <c r="E1136" s="2" t="str">
        <f>HYPERLINK("https://ui.adsabs.harvard.edu/abs/2019arXiv190801095M/abstract","2019arXiv190801095M")</f>
        <v>2019arXiv190801095M</v>
      </c>
      <c r="G1136" s="1" t="s">
        <v>72</v>
      </c>
      <c r="H1136" s="1">
        <v>0.9961402</v>
      </c>
      <c r="I1136" s="1" t="s">
        <v>1041</v>
      </c>
    </row>
    <row r="1137">
      <c r="A1137" s="2" t="str">
        <f>HYPERLINK("https://ui.adsabs.harvard.edu/abs/2020Quant...4..228D/abstract","2020Quant...4..228D")</f>
        <v>2020Quant...4..228D</v>
      </c>
      <c r="B1137" s="2" t="str">
        <f>HYPERLINK("https://ui.adsabs.harvard.edu/abs/2019arXiv190713279D/abstract","2019arXiv190713279D")</f>
        <v>2019arXiv190713279D</v>
      </c>
      <c r="C1137" s="1" t="s">
        <v>70</v>
      </c>
      <c r="E1137" s="2" t="str">
        <f>HYPERLINK("https://ui.adsabs.harvard.edu/abs/2019arXiv190713279D/abstract","2019arXiv190713279D")</f>
        <v>2019arXiv190713279D</v>
      </c>
      <c r="G1137" s="1" t="s">
        <v>72</v>
      </c>
      <c r="H1137" s="1">
        <v>0.9961402</v>
      </c>
      <c r="I1137" s="1" t="s">
        <v>1041</v>
      </c>
    </row>
    <row r="1138">
      <c r="A1138" s="2" t="str">
        <f>HYPERLINK("https://ui.adsabs.harvard.edu/abs/2020Quant...4..231B/abstract","2020Quant...4..231B")</f>
        <v>2020Quant...4..231B</v>
      </c>
      <c r="B1138" s="2" t="str">
        <f>HYPERLINK("https://ui.adsabs.harvard.edu/abs/2019arXiv190401314B/abstract","2019arXiv190401314B")</f>
        <v>2019arXiv190401314B</v>
      </c>
      <c r="C1138" s="1" t="s">
        <v>70</v>
      </c>
      <c r="E1138" s="2" t="str">
        <f>HYPERLINK("https://ui.adsabs.harvard.edu/abs/2019arXiv190401314B/abstract","2019arXiv190401314B")</f>
        <v>2019arXiv190401314B</v>
      </c>
      <c r="G1138" s="1" t="s">
        <v>72</v>
      </c>
      <c r="H1138" s="1">
        <v>0.9961402</v>
      </c>
      <c r="I1138" s="1" t="s">
        <v>1041</v>
      </c>
    </row>
    <row r="1139">
      <c r="A1139" s="2" t="str">
        <f>HYPERLINK("https://ui.adsabs.harvard.edu/abs/2020Quant...4..233D/abstract","2020Quant...4..233D")</f>
        <v>2020Quant...4..233D</v>
      </c>
      <c r="B1139" s="2" t="str">
        <f>HYPERLINK("https://ui.adsabs.harvard.edu/abs/2019arXiv191004294D/abstract","2019arXiv191004294D")</f>
        <v>2019arXiv191004294D</v>
      </c>
      <c r="C1139" s="1" t="s">
        <v>70</v>
      </c>
      <c r="E1139" s="2" t="str">
        <f>HYPERLINK("https://ui.adsabs.harvard.edu/abs/2019arXiv191004294D/abstract","2019arXiv191004294D")</f>
        <v>2019arXiv191004294D</v>
      </c>
      <c r="G1139" s="1" t="s">
        <v>72</v>
      </c>
      <c r="H1139" s="1">
        <v>0.9961402</v>
      </c>
      <c r="I1139" s="1" t="s">
        <v>1041</v>
      </c>
    </row>
    <row r="1140">
      <c r="A1140" s="2" t="str">
        <f>HYPERLINK("https://ui.adsabs.harvard.edu/abs/2020Quant...4..235O/abstract","2020Quant...4..235O")</f>
        <v>2020Quant...4..235O</v>
      </c>
      <c r="B1140" s="2" t="str">
        <f>HYPERLINK("https://ui.adsabs.harvard.edu/abs/2019arXiv191006255O/abstract","2019arXiv191006255O")</f>
        <v>2019arXiv191006255O</v>
      </c>
      <c r="C1140" s="1" t="s">
        <v>70</v>
      </c>
      <c r="E1140" s="2" t="str">
        <f>HYPERLINK("https://ui.adsabs.harvard.edu/abs/2019arXiv191006255O/abstract","2019arXiv191006255O")</f>
        <v>2019arXiv191006255O</v>
      </c>
      <c r="G1140" s="1" t="s">
        <v>72</v>
      </c>
      <c r="H1140" s="1">
        <v>0.9961402</v>
      </c>
      <c r="I1140" s="1" t="s">
        <v>1041</v>
      </c>
    </row>
    <row r="1141">
      <c r="A1141" s="2" t="str">
        <f>HYPERLINK("https://ui.adsabs.harvard.edu/abs/2020Quant...4..237H/abstract","2020Quant...4..237H")</f>
        <v>2020Quant...4..237H</v>
      </c>
      <c r="B1141" s="2" t="str">
        <f>HYPERLINK("https://ui.adsabs.harvard.edu/abs/2019arXiv190712724H/abstract","2019arXiv190712724H")</f>
        <v>2019arXiv190712724H</v>
      </c>
      <c r="C1141" s="1" t="s">
        <v>70</v>
      </c>
      <c r="E1141" s="2" t="str">
        <f>HYPERLINK("https://ui.adsabs.harvard.edu/abs/2019arXiv190712724H/abstract","2019arXiv190712724H")</f>
        <v>2019arXiv190712724H</v>
      </c>
      <c r="G1141" s="1" t="s">
        <v>72</v>
      </c>
      <c r="H1141" s="1">
        <v>0.9961402</v>
      </c>
      <c r="I1141" s="1" t="s">
        <v>1041</v>
      </c>
    </row>
    <row r="1142">
      <c r="A1142" s="2" t="str">
        <f>HYPERLINK("https://ui.adsabs.harvard.edu/abs/2020Quant...4..241B/abstract","2020Quant...4..241B")</f>
        <v>2020Quant...4..241B</v>
      </c>
      <c r="B1142" s="2" t="str">
        <f>HYPERLINK("https://ui.adsabs.harvard.edu/abs/2019arXiv190513095B/abstract","2019arXiv190513095B")</f>
        <v>2019arXiv190513095B</v>
      </c>
      <c r="C1142" s="1" t="s">
        <v>70</v>
      </c>
      <c r="E1142" s="2" t="str">
        <f>HYPERLINK("https://ui.adsabs.harvard.edu/abs/2019arXiv190513095B/abstract","2019arXiv190513095B")</f>
        <v>2019arXiv190513095B</v>
      </c>
      <c r="G1142" s="1" t="s">
        <v>72</v>
      </c>
      <c r="H1142" s="1">
        <v>0.9961402</v>
      </c>
      <c r="I1142" s="1" t="s">
        <v>1041</v>
      </c>
    </row>
    <row r="1143">
      <c r="A1143" s="2" t="str">
        <f>HYPERLINK("https://ui.adsabs.harvard.edu/abs/2020Quant...4..244H/abstract","2020Quant...4..244H")</f>
        <v>2020Quant...4..244H</v>
      </c>
      <c r="B1143" s="2" t="str">
        <f>HYPERLINK("https://ui.adsabs.harvard.edu/abs/2019arXiv191002464H/abstract","2019arXiv191002464H")</f>
        <v>2019arXiv191002464H</v>
      </c>
      <c r="C1143" s="1" t="s">
        <v>70</v>
      </c>
      <c r="E1143" s="2" t="str">
        <f>HYPERLINK("https://ui.adsabs.harvard.edu/abs/2019arXiv191002464H/abstract","2019arXiv191002464H")</f>
        <v>2019arXiv191002464H</v>
      </c>
      <c r="G1143" s="1" t="s">
        <v>72</v>
      </c>
      <c r="H1143" s="1">
        <v>0.9961402</v>
      </c>
      <c r="I1143" s="1" t="s">
        <v>1041</v>
      </c>
    </row>
    <row r="1144">
      <c r="A1144" s="2" t="str">
        <f>HYPERLINK("https://ui.adsabs.harvard.edu/abs/2020Quant...4..245W/abstract","2020Quant...4..245W")</f>
        <v>2020Quant...4..245W</v>
      </c>
      <c r="B1144" s="2" t="str">
        <f>HYPERLINK("https://ui.adsabs.harvard.edu/abs/2019arXiv190207725W/abstract","2019arXiv190207725W")</f>
        <v>2019arXiv190207725W</v>
      </c>
      <c r="C1144" s="1" t="s">
        <v>70</v>
      </c>
      <c r="E1144" s="2" t="str">
        <f>HYPERLINK("https://ui.adsabs.harvard.edu/abs/2019arXiv190207725W/abstract","2019arXiv190207725W")</f>
        <v>2019arXiv190207725W</v>
      </c>
      <c r="G1144" s="1" t="s">
        <v>72</v>
      </c>
      <c r="H1144" s="1">
        <v>0.9961402</v>
      </c>
      <c r="I1144" s="1" t="s">
        <v>1041</v>
      </c>
    </row>
    <row r="1145">
      <c r="A1145" s="2" t="str">
        <f>HYPERLINK("https://ui.adsabs.harvard.edu/abs/2020Quant...4..246V/abstract","2020Quant...4..246V")</f>
        <v>2020Quant...4..246V</v>
      </c>
      <c r="B1145" s="2" t="str">
        <f>HYPERLINK("https://ui.adsabs.harvard.edu/abs/2019arXiv191004606V/abstract","2019arXiv191004606V")</f>
        <v>2019arXiv191004606V</v>
      </c>
      <c r="C1145" s="1" t="s">
        <v>70</v>
      </c>
      <c r="E1145" s="2" t="str">
        <f>HYPERLINK("https://ui.adsabs.harvard.edu/abs/2019arXiv191004606V/abstract","2019arXiv191004606V")</f>
        <v>2019arXiv191004606V</v>
      </c>
      <c r="G1145" s="1" t="s">
        <v>72</v>
      </c>
      <c r="H1145" s="1">
        <v>0.9961402</v>
      </c>
      <c r="I1145" s="1" t="s">
        <v>1041</v>
      </c>
    </row>
    <row r="1146">
      <c r="A1146" s="2" t="str">
        <f>HYPERLINK("https://ui.adsabs.harvard.edu/abs/2020Quant...4..250A/abstract","2020Quant...4..250A")</f>
        <v>2020Quant...4..250A</v>
      </c>
      <c r="B1146" s="2" t="str">
        <f>HYPERLINK("https://ui.adsabs.harvard.edu/abs/2019arXiv190700291A/abstract","2019arXiv190700291A")</f>
        <v>2019arXiv190700291A</v>
      </c>
      <c r="C1146" s="1" t="s">
        <v>70</v>
      </c>
      <c r="E1146" s="2" t="str">
        <f>HYPERLINK("https://ui.adsabs.harvard.edu/abs/2019arXiv190700291A/abstract","2019arXiv190700291A")</f>
        <v>2019arXiv190700291A</v>
      </c>
      <c r="G1146" s="1" t="s">
        <v>72</v>
      </c>
      <c r="H1146" s="1">
        <v>0.9961402</v>
      </c>
      <c r="I1146" s="1" t="s">
        <v>1041</v>
      </c>
    </row>
    <row r="1147">
      <c r="A1147" s="2" t="str">
        <f>HYPERLINK("https://ui.adsabs.harvard.edu/abs/2020Quant...4..251S/abstract","2020Quant...4..251S")</f>
        <v>2020Quant...4..251S</v>
      </c>
      <c r="B1147" s="2" t="str">
        <f>HYPERLINK("https://ui.adsabs.harvard.edu/abs/2019arXiv190807353S/abstract","2019arXiv190807353S")</f>
        <v>2019arXiv190807353S</v>
      </c>
      <c r="C1147" s="1" t="s">
        <v>70</v>
      </c>
      <c r="E1147" s="2" t="str">
        <f>HYPERLINK("https://ui.adsabs.harvard.edu/abs/2019arXiv190807353S/abstract","2019arXiv190807353S")</f>
        <v>2019arXiv190807353S</v>
      </c>
      <c r="G1147" s="1" t="s">
        <v>72</v>
      </c>
      <c r="H1147" s="1">
        <v>0.9961402</v>
      </c>
      <c r="I1147" s="1" t="s">
        <v>1041</v>
      </c>
    </row>
    <row r="1148">
      <c r="A1148" s="2" t="str">
        <f>HYPERLINK("https://ui.adsabs.harvard.edu/abs/2020Quant...4..252A/abstract","2020Quant...4..252A")</f>
        <v>2020Quant...4..252A</v>
      </c>
      <c r="B1148" s="2" t="str">
        <f>HYPERLINK("https://ui.adsabs.harvard.edu/abs/2019arXiv190806076A/abstract","2019arXiv190806076A")</f>
        <v>2019arXiv190806076A</v>
      </c>
      <c r="C1148" s="1" t="s">
        <v>70</v>
      </c>
      <c r="E1148" s="2" t="str">
        <f>HYPERLINK("https://ui.adsabs.harvard.edu/abs/2019arXiv190806076A/abstract","2019arXiv190806076A")</f>
        <v>2019arXiv190806076A</v>
      </c>
      <c r="G1148" s="1" t="s">
        <v>72</v>
      </c>
      <c r="H1148" s="1">
        <v>0.9961402</v>
      </c>
      <c r="I1148" s="1" t="s">
        <v>1041</v>
      </c>
    </row>
    <row r="1149">
      <c r="A1149" s="2" t="str">
        <f>HYPERLINK("https://ui.adsabs.harvard.edu/abs/2020Quant...4..256B/abstract","2020Quant...4..256B")</f>
        <v>2020Quant...4..256B</v>
      </c>
      <c r="B1149" s="2" t="str">
        <f>HYPERLINK("https://ui.adsabs.harvard.edu/abs/2019arXiv190704769B/abstract","2019arXiv190704769B")</f>
        <v>2019arXiv190704769B</v>
      </c>
      <c r="C1149" s="1" t="s">
        <v>70</v>
      </c>
      <c r="E1149" s="2" t="str">
        <f>HYPERLINK("https://ui.adsabs.harvard.edu/abs/2019arXiv190704769B/abstract","2019arXiv190704769B")</f>
        <v>2019arXiv190704769B</v>
      </c>
      <c r="G1149" s="1" t="s">
        <v>72</v>
      </c>
      <c r="H1149" s="1">
        <v>0.9961402</v>
      </c>
      <c r="I1149" s="1" t="s">
        <v>1041</v>
      </c>
    </row>
    <row r="1150">
      <c r="A1150" s="2" t="str">
        <f>HYPERLINK("https://ui.adsabs.harvard.edu/abs/2020Quant...4..257M/abstract","2020Quant...4..257M")</f>
        <v>2020Quant...4..257M</v>
      </c>
      <c r="B1150" s="2" t="str">
        <f>HYPERLINK("https://ui.adsabs.harvard.edu/abs/2019arXiv190708518M/abstract","2019arXiv190708518M")</f>
        <v>2019arXiv190708518M</v>
      </c>
      <c r="C1150" s="1" t="s">
        <v>70</v>
      </c>
      <c r="E1150" s="2" t="str">
        <f>HYPERLINK("https://ui.adsabs.harvard.edu/abs/2019arXiv190708518M/abstract","2019arXiv190708518M")</f>
        <v>2019arXiv190708518M</v>
      </c>
      <c r="G1150" s="1" t="s">
        <v>72</v>
      </c>
      <c r="H1150" s="1">
        <v>0.9961402</v>
      </c>
      <c r="I1150" s="1" t="s">
        <v>1041</v>
      </c>
    </row>
    <row r="1151">
      <c r="A1151" s="2" t="str">
        <f>HYPERLINK("https://ui.adsabs.harvard.edu/abs/2020Quant...4..258L/abstract","2020Quant...4..258L")</f>
        <v>2020Quant...4..258L</v>
      </c>
      <c r="B1151" s="2" t="str">
        <f>HYPERLINK("https://ui.adsabs.harvard.edu/abs/2019arXiv190508291L/abstract","2019arXiv190508291L")</f>
        <v>2019arXiv190508291L</v>
      </c>
      <c r="C1151" s="1" t="s">
        <v>70</v>
      </c>
      <c r="E1151" s="2" t="str">
        <f>HYPERLINK("https://ui.adsabs.harvard.edu/abs/2019arXiv190508291L/abstract","2019arXiv190508291L")</f>
        <v>2019arXiv190508291L</v>
      </c>
      <c r="G1151" s="1" t="s">
        <v>72</v>
      </c>
      <c r="H1151" s="1">
        <v>0.9961402</v>
      </c>
      <c r="I1151" s="1" t="s">
        <v>1041</v>
      </c>
    </row>
    <row r="1152">
      <c r="A1152" s="2" t="str">
        <f>HYPERLINK("https://ui.adsabs.harvard.edu/abs/2020Quant...4..261S/abstract","2020Quant...4..261S")</f>
        <v>2020Quant...4..261S</v>
      </c>
      <c r="B1152" s="2" t="str">
        <f>HYPERLINK("https://ui.adsabs.harvard.edu/abs/2019arXiv191204939S/abstract","2019arXiv191204939S")</f>
        <v>2019arXiv191204939S</v>
      </c>
      <c r="C1152" s="1" t="s">
        <v>70</v>
      </c>
      <c r="E1152" s="2" t="str">
        <f>HYPERLINK("https://ui.adsabs.harvard.edu/abs/2019arXiv191204939S/abstract","2019arXiv191204939S")</f>
        <v>2019arXiv191204939S</v>
      </c>
      <c r="G1152" s="1" t="s">
        <v>72</v>
      </c>
      <c r="H1152" s="1">
        <v>0.9961402</v>
      </c>
      <c r="I1152" s="1" t="s">
        <v>1041</v>
      </c>
    </row>
    <row r="1153">
      <c r="A1153" s="2" t="str">
        <f>HYPERLINK("https://ui.adsabs.harvard.edu/abs/2020Quant...4..262S/abstract","2020Quant...4..262S")</f>
        <v>2020Quant...4..262S</v>
      </c>
      <c r="B1153" s="2" t="str">
        <f>HYPERLINK("https://ui.adsabs.harvard.edu/abs/2019arXiv190904065S/abstract","2019arXiv190904065S")</f>
        <v>2019arXiv190904065S</v>
      </c>
      <c r="C1153" s="1" t="s">
        <v>70</v>
      </c>
      <c r="E1153" s="2" t="str">
        <f>HYPERLINK("https://ui.adsabs.harvard.edu/abs/2019arXiv190904065S/abstract","2019arXiv190904065S")</f>
        <v>2019arXiv190904065S</v>
      </c>
      <c r="G1153" s="1" t="s">
        <v>72</v>
      </c>
      <c r="H1153" s="1">
        <v>0.9961402</v>
      </c>
      <c r="I1153" s="1" t="s">
        <v>1041</v>
      </c>
    </row>
    <row r="1154">
      <c r="A1154" s="2" t="str">
        <f>HYPERLINK("https://ui.adsabs.harvard.edu/abs/2020Quant...4..263K/abstract","2020Quant...4..263K")</f>
        <v>2020Quant...4..263K</v>
      </c>
      <c r="B1154" s="2" t="str">
        <f>HYPERLINK("https://ui.adsabs.harvard.edu/abs/2019arXiv190909083K/abstract","2019arXiv190909083K")</f>
        <v>2019arXiv190909083K</v>
      </c>
      <c r="C1154" s="1" t="s">
        <v>70</v>
      </c>
      <c r="E1154" s="2" t="str">
        <f>HYPERLINK("https://ui.adsabs.harvard.edu/abs/2019arXiv190909083K/abstract","2019arXiv190909083K")</f>
        <v>2019arXiv190909083K</v>
      </c>
      <c r="G1154" s="1" t="s">
        <v>72</v>
      </c>
      <c r="H1154" s="1">
        <v>0.9961402</v>
      </c>
      <c r="I1154" s="1" t="s">
        <v>1041</v>
      </c>
    </row>
    <row r="1155">
      <c r="A1155" s="2" t="str">
        <f>HYPERLINK("https://ui.adsabs.harvard.edu/abs/2020Quant...4..265K/abstract","2020Quant...4..265K")</f>
        <v>2020Quant...4..265K</v>
      </c>
      <c r="B1155" s="2" t="str">
        <f>HYPERLINK("https://ui.adsabs.harvard.edu/abs/2019arXiv191204266K/abstract","2019arXiv191204266K")</f>
        <v>2019arXiv191204266K</v>
      </c>
      <c r="C1155" s="1" t="s">
        <v>70</v>
      </c>
      <c r="E1155" s="2" t="str">
        <f>HYPERLINK("https://ui.adsabs.harvard.edu/abs/2019arXiv191204266K/abstract","2019arXiv191204266K")</f>
        <v>2019arXiv191204266K</v>
      </c>
      <c r="G1155" s="1" t="s">
        <v>72</v>
      </c>
      <c r="H1155" s="1">
        <v>0.9961402</v>
      </c>
      <c r="I1155" s="1" t="s">
        <v>1041</v>
      </c>
    </row>
    <row r="1156">
      <c r="A1156" s="2" t="str">
        <f>HYPERLINK("https://ui.adsabs.harvard.edu/abs/2020Quant...4..266V/abstract","2020Quant...4..266V")</f>
        <v>2020Quant...4..266V</v>
      </c>
      <c r="B1156" s="2" t="str">
        <f>HYPERLINK("https://ui.adsabs.harvard.edu/abs/2019arXiv190205217V/abstract","2019arXiv190205217V")</f>
        <v>2019arXiv190205217V</v>
      </c>
      <c r="C1156" s="1" t="s">
        <v>70</v>
      </c>
      <c r="E1156" s="2" t="str">
        <f>HYPERLINK("https://ui.adsabs.harvard.edu/abs/2019arXiv190205217V/abstract","2019arXiv190205217V")</f>
        <v>2019arXiv190205217V</v>
      </c>
      <c r="G1156" s="1" t="s">
        <v>72</v>
      </c>
      <c r="H1156" s="1">
        <v>0.9961402</v>
      </c>
      <c r="I1156" s="1" t="s">
        <v>1041</v>
      </c>
    </row>
    <row r="1157">
      <c r="A1157" s="2" t="str">
        <f>HYPERLINK("https://ui.adsabs.harvard.edu/abs/2020Quant...4..268S/abstract","2020Quant...4..268S")</f>
        <v>2020Quant...4..268S</v>
      </c>
      <c r="B1157" s="2" t="str">
        <f>HYPERLINK("https://ui.adsabs.harvard.edu/abs/2019arXiv191111801S/abstract","2019arXiv191111801S")</f>
        <v>2019arXiv191111801S</v>
      </c>
      <c r="C1157" s="1" t="s">
        <v>70</v>
      </c>
      <c r="E1157" s="2" t="str">
        <f>HYPERLINK("https://ui.adsabs.harvard.edu/abs/2019arXiv191111801S/abstract","2019arXiv191111801S")</f>
        <v>2019arXiv191111801S</v>
      </c>
      <c r="G1157" s="1" t="s">
        <v>72</v>
      </c>
      <c r="H1157" s="1">
        <v>0.9961402</v>
      </c>
      <c r="I1157" s="1" t="s">
        <v>1041</v>
      </c>
    </row>
    <row r="1158">
      <c r="A1158" s="2" t="str">
        <f>HYPERLINK("https://ui.adsabs.harvard.edu/abs/2020Quant...4..269S/abstract","2020Quant...4..269S")</f>
        <v>2020Quant...4..269S</v>
      </c>
      <c r="B1158" s="2" t="str">
        <f>HYPERLINK("https://ui.adsabs.harvard.edu/abs/2019arXiv190902108S/abstract","2019arXiv190902108S")</f>
        <v>2019arXiv190902108S</v>
      </c>
      <c r="C1158" s="1" t="s">
        <v>70</v>
      </c>
      <c r="E1158" s="2" t="str">
        <f>HYPERLINK("https://ui.adsabs.harvard.edu/abs/2019arXiv190902108S/abstract","2019arXiv190902108S")</f>
        <v>2019arXiv190902108S</v>
      </c>
      <c r="G1158" s="1" t="s">
        <v>72</v>
      </c>
      <c r="H1158" s="1">
        <v>0.9961402</v>
      </c>
      <c r="I1158" s="1" t="s">
        <v>1041</v>
      </c>
    </row>
    <row r="1159">
      <c r="A1159" s="2" t="str">
        <f>HYPERLINK("https://ui.adsabs.harvard.edu/abs/2020Quant...4..270R/abstract","2020Quant...4..270R")</f>
        <v>2020Quant...4..270R</v>
      </c>
      <c r="B1159" s="2" t="str">
        <f>HYPERLINK("https://ui.adsabs.harvard.edu/abs/2019arXiv190811339R/abstract","2019arXiv190811339R")</f>
        <v>2019arXiv190811339R</v>
      </c>
      <c r="C1159" s="1" t="s">
        <v>70</v>
      </c>
      <c r="E1159" s="2" t="str">
        <f>HYPERLINK("https://ui.adsabs.harvard.edu/abs/2019arXiv190811339R/abstract","2019arXiv190811339R")</f>
        <v>2019arXiv190811339R</v>
      </c>
      <c r="G1159" s="1" t="s">
        <v>72</v>
      </c>
      <c r="H1159" s="1">
        <v>0.9961402</v>
      </c>
      <c r="I1159" s="1" t="s">
        <v>1041</v>
      </c>
    </row>
    <row r="1160">
      <c r="A1160" s="2" t="str">
        <f>HYPERLINK("https://ui.adsabs.harvard.edu/abs/2020Quant...4..272B/abstract","2020Quant...4..272B")</f>
        <v>2020Quant...4..272B</v>
      </c>
      <c r="B1160" s="2" t="str">
        <f>HYPERLINK("https://ui.adsabs.harvard.edu/abs/2020arXiv200206210B/abstract","2020arXiv200206210B")</f>
        <v>2020arXiv200206210B</v>
      </c>
      <c r="C1160" s="1" t="s">
        <v>70</v>
      </c>
      <c r="E1160" s="2" t="str">
        <f>HYPERLINK("https://ui.adsabs.harvard.edu/abs/2020arXiv200206210B/abstract","2020arXiv200206210B")</f>
        <v>2020arXiv200206210B</v>
      </c>
      <c r="G1160" s="1" t="s">
        <v>72</v>
      </c>
      <c r="H1160" s="1">
        <v>0.9961402</v>
      </c>
      <c r="I1160" s="1" t="s">
        <v>1041</v>
      </c>
    </row>
    <row r="1161">
      <c r="A1161" s="2" t="str">
        <f>HYPERLINK("https://ui.adsabs.harvard.edu/abs/2020Quant...4..273N/abstract","2020Quant...4..273N")</f>
        <v>2020Quant...4..273N</v>
      </c>
      <c r="B1161" s="2" t="str">
        <f>HYPERLINK("https://ui.adsabs.harvard.edu/abs/2019arXiv191202043N/abstract","2019arXiv191202043N")</f>
        <v>2019arXiv191202043N</v>
      </c>
      <c r="C1161" s="1" t="s">
        <v>70</v>
      </c>
      <c r="E1161" s="2" t="str">
        <f>HYPERLINK("https://ui.adsabs.harvard.edu/abs/2019arXiv191202043N/abstract","2019arXiv191202043N")</f>
        <v>2019arXiv191202043N</v>
      </c>
      <c r="G1161" s="1" t="s">
        <v>72</v>
      </c>
      <c r="H1161" s="1">
        <v>0.9961402</v>
      </c>
      <c r="I1161" s="1" t="s">
        <v>1041</v>
      </c>
    </row>
    <row r="1162">
      <c r="A1162" s="2" t="str">
        <f>HYPERLINK("https://ui.adsabs.harvard.edu/abs/2020Quant...4..275P/abstract","2020Quant...4..275P")</f>
        <v>2020Quant...4..275P</v>
      </c>
      <c r="B1162" s="2" t="str">
        <f>HYPERLINK("https://ui.adsabs.harvard.edu/abs/2019arXiv190509682P/abstract","2019arXiv190509682P")</f>
        <v>2019arXiv190509682P</v>
      </c>
      <c r="C1162" s="1" t="s">
        <v>70</v>
      </c>
      <c r="E1162" s="2" t="str">
        <f>HYPERLINK("https://ui.adsabs.harvard.edu/abs/2019arXiv190509682P/abstract","2019arXiv190509682P")</f>
        <v>2019arXiv190509682P</v>
      </c>
      <c r="G1162" s="1" t="s">
        <v>72</v>
      </c>
      <c r="H1162" s="1">
        <v>0.9961402</v>
      </c>
      <c r="I1162" s="1" t="s">
        <v>1041</v>
      </c>
    </row>
    <row r="1163">
      <c r="A1163" s="2" t="str">
        <f>HYPERLINK("https://ui.adsabs.harvard.edu/abs/2020Quant...4..278C/abstract","2020Quant...4..278C")</f>
        <v>2020Quant...4..278C</v>
      </c>
      <c r="B1163" s="2" t="str">
        <f>HYPERLINK("https://ui.adsabs.harvard.edu/abs/2020arXiv200305465C/abstract","2020arXiv200305465C")</f>
        <v>2020arXiv200305465C</v>
      </c>
      <c r="C1163" s="1" t="s">
        <v>70</v>
      </c>
      <c r="E1163" s="2" t="str">
        <f>HYPERLINK("https://ui.adsabs.harvard.edu/abs/2020arXiv200305465C/abstract","2020arXiv200305465C")</f>
        <v>2020arXiv200305465C</v>
      </c>
      <c r="G1163" s="1" t="s">
        <v>72</v>
      </c>
      <c r="H1163" s="1">
        <v>0.9961402</v>
      </c>
      <c r="I1163" s="1" t="s">
        <v>1041</v>
      </c>
    </row>
    <row r="1164">
      <c r="A1164" s="2" t="str">
        <f>HYPERLINK("https://ui.adsabs.harvard.edu/abs/2020Quant...4..279D/abstract","2020Quant...4..279D")</f>
        <v>2020Quant...4..279D</v>
      </c>
      <c r="B1164" s="2" t="str">
        <f>HYPERLINK("https://ui.adsabs.harvard.edu/abs/2019arXiv190203178D/abstract","2019arXiv190203178D")</f>
        <v>2019arXiv190203178D</v>
      </c>
      <c r="C1164" s="1" t="s">
        <v>70</v>
      </c>
      <c r="E1164" s="2" t="str">
        <f>HYPERLINK("https://ui.adsabs.harvard.edu/abs/2019arXiv190203178D/abstract","2019arXiv190203178D")</f>
        <v>2019arXiv190203178D</v>
      </c>
      <c r="G1164" s="1" t="s">
        <v>72</v>
      </c>
      <c r="H1164" s="1">
        <v>0.9961402</v>
      </c>
      <c r="I1164" s="1" t="s">
        <v>1041</v>
      </c>
    </row>
    <row r="1165">
      <c r="A1165" s="2" t="str">
        <f>HYPERLINK("https://ui.adsabs.harvard.edu/abs/2020Quant...4..283Y/abstract","2020Quant...4..283Y")</f>
        <v>2020Quant...4..283Y</v>
      </c>
      <c r="B1165" s="2" t="str">
        <f>HYPERLINK("https://ui.adsabs.harvard.edu/abs/2019arXiv191104903Y/abstract","2019arXiv191104903Y")</f>
        <v>2019arXiv191104903Y</v>
      </c>
      <c r="C1165" s="1" t="s">
        <v>70</v>
      </c>
      <c r="E1165" s="2" t="str">
        <f>HYPERLINK("https://ui.adsabs.harvard.edu/abs/2019arXiv191104903Y/abstract","2019arXiv191104903Y")</f>
        <v>2019arXiv191104903Y</v>
      </c>
      <c r="G1165" s="1" t="s">
        <v>72</v>
      </c>
      <c r="H1165" s="1">
        <v>0.9961402</v>
      </c>
      <c r="I1165" s="1" t="s">
        <v>1041</v>
      </c>
    </row>
    <row r="1166">
      <c r="A1166" s="2" t="str">
        <f>HYPERLINK("https://ui.adsabs.harvard.edu/abs/2020Quant...4..284H/abstract","2020Quant...4..284H")</f>
        <v>2020Quant...4..284H</v>
      </c>
      <c r="B1166" s="2" t="str">
        <f>HYPERLINK("https://ui.adsabs.harvard.edu/abs/2019arXiv190707733H/abstract","2019arXiv190707733H")</f>
        <v>2019arXiv190707733H</v>
      </c>
      <c r="C1166" s="1" t="s">
        <v>70</v>
      </c>
      <c r="E1166" s="2" t="str">
        <f>HYPERLINK("https://ui.adsabs.harvard.edu/abs/2019arXiv190707733H/abstract","2019arXiv190707733H")</f>
        <v>2019arXiv190707733H</v>
      </c>
      <c r="G1166" s="1" t="s">
        <v>72</v>
      </c>
      <c r="H1166" s="1">
        <v>0.9961402</v>
      </c>
      <c r="I1166" s="1" t="s">
        <v>1041</v>
      </c>
    </row>
    <row r="1167">
      <c r="A1167" s="2" t="str">
        <f>HYPERLINK("https://ui.adsabs.harvard.edu/abs/2020Quant...4..285M/abstract","2020Quant...4..285M")</f>
        <v>2020Quant...4..285M</v>
      </c>
      <c r="B1167" s="2" t="str">
        <f>HYPERLINK("https://ui.adsabs.harvard.edu/abs/2019arXiv190908355M/abstract","2019arXiv190908355M")</f>
        <v>2019arXiv190908355M</v>
      </c>
      <c r="C1167" s="1" t="s">
        <v>70</v>
      </c>
      <c r="E1167" s="2" t="str">
        <f>HYPERLINK("https://ui.adsabs.harvard.edu/abs/2019arXiv190908355M/abstract","2019arXiv190908355M")</f>
        <v>2019arXiv190908355M</v>
      </c>
      <c r="G1167" s="1" t="s">
        <v>72</v>
      </c>
      <c r="H1167" s="1">
        <v>0.9961402</v>
      </c>
      <c r="I1167" s="1" t="s">
        <v>1041</v>
      </c>
    </row>
    <row r="1168">
      <c r="A1168" s="2" t="str">
        <f>HYPERLINK("https://ui.adsabs.harvard.edu/abs/2020Quant...4..286B/abstract","2020Quant...4..286B")</f>
        <v>2020Quant...4..286B</v>
      </c>
      <c r="B1168" s="2" t="str">
        <f>HYPERLINK("https://ui.adsabs.harvard.edu/abs/2019arXiv190502110B/abstract","2019arXiv190502110B")</f>
        <v>2019arXiv190502110B</v>
      </c>
      <c r="C1168" s="1" t="s">
        <v>70</v>
      </c>
      <c r="E1168" s="2" t="str">
        <f>HYPERLINK("https://ui.adsabs.harvard.edu/abs/2019arXiv190502110B/abstract","2019arXiv190502110B")</f>
        <v>2019arXiv190502110B</v>
      </c>
      <c r="G1168" s="1" t="s">
        <v>72</v>
      </c>
      <c r="H1168" s="1">
        <v>0.9961402</v>
      </c>
      <c r="I1168" s="1" t="s">
        <v>1041</v>
      </c>
    </row>
    <row r="1169">
      <c r="A1169" s="2" t="str">
        <f>HYPERLINK("https://ui.adsabs.harvard.edu/abs/2020Quant...4..288G/abstract","2020Quant...4..288G")</f>
        <v>2020Quant...4..288G</v>
      </c>
      <c r="B1169" s="2" t="str">
        <f>HYPERLINK("https://ui.adsabs.harvard.edu/abs/2019arXiv190100896G/abstract","2019arXiv190100896G")</f>
        <v>2019arXiv190100896G</v>
      </c>
      <c r="C1169" s="1" t="s">
        <v>70</v>
      </c>
      <c r="E1169" s="2" t="str">
        <f>HYPERLINK("https://ui.adsabs.harvard.edu/abs/2019arXiv190100896G/abstract","2019arXiv190100896G")</f>
        <v>2019arXiv190100896G</v>
      </c>
      <c r="G1169" s="1" t="s">
        <v>72</v>
      </c>
      <c r="H1169" s="1">
        <v>0.9961402</v>
      </c>
      <c r="I1169" s="1" t="s">
        <v>1041</v>
      </c>
    </row>
    <row r="1170">
      <c r="A1170" s="2" t="str">
        <f>HYPERLINK("https://ui.adsabs.harvard.edu/abs/2020Quant...4..290K/abstract","2020Quant...4..290K")</f>
        <v>2020Quant...4..290K</v>
      </c>
      <c r="B1170" s="2" t="str">
        <f>HYPERLINK("https://ui.adsabs.harvard.edu/abs/2019arXiv191211722K/abstract","2019arXiv191211722K")</f>
        <v>2019arXiv191211722K</v>
      </c>
      <c r="C1170" s="1" t="s">
        <v>70</v>
      </c>
      <c r="E1170" s="2" t="str">
        <f>HYPERLINK("https://ui.adsabs.harvard.edu/abs/2019arXiv191211722K/abstract","2019arXiv191211722K")</f>
        <v>2019arXiv191211722K</v>
      </c>
      <c r="G1170" s="1" t="s">
        <v>72</v>
      </c>
      <c r="H1170" s="1">
        <v>0.9961402</v>
      </c>
      <c r="I1170" s="1" t="s">
        <v>1041</v>
      </c>
    </row>
    <row r="1171">
      <c r="A1171" s="2" t="str">
        <f>HYPERLINK("https://ui.adsabs.harvard.edu/abs/2020Quant...4..291S/abstract","2020Quant...4..291S")</f>
        <v>2020Quant...4..291S</v>
      </c>
      <c r="B1171" s="2" t="str">
        <f>HYPERLINK("https://ui.adsabs.harvard.edu/abs/2019arXiv190502666S/abstract","2019arXiv190502666S")</f>
        <v>2019arXiv190502666S</v>
      </c>
      <c r="C1171" s="1" t="s">
        <v>70</v>
      </c>
      <c r="E1171" s="2" t="str">
        <f>HYPERLINK("https://ui.adsabs.harvard.edu/abs/2019arXiv190502666S/abstract","2019arXiv190502666S")</f>
        <v>2019arXiv190502666S</v>
      </c>
      <c r="G1171" s="1" t="s">
        <v>72</v>
      </c>
      <c r="H1171" s="1">
        <v>0.9961402</v>
      </c>
      <c r="I1171" s="1" t="s">
        <v>1041</v>
      </c>
    </row>
    <row r="1172">
      <c r="A1172" s="2" t="str">
        <f>HYPERLINK("https://ui.adsabs.harvard.edu/abs/2020Quant...4..292M/abstract","2020Quant...4..292M")</f>
        <v>2020Quant...4..292M</v>
      </c>
      <c r="B1172" s="2" t="str">
        <f>HYPERLINK("https://ui.adsabs.harvard.edu/abs/2019arXiv190107482M/abstract","2019arXiv190107482M")</f>
        <v>2019arXiv190107482M</v>
      </c>
      <c r="C1172" s="1" t="s">
        <v>70</v>
      </c>
      <c r="E1172" s="2" t="str">
        <f>HYPERLINK("https://ui.adsabs.harvard.edu/abs/2019arXiv190107482M/abstract","2019arXiv190107482M")</f>
        <v>2019arXiv190107482M</v>
      </c>
      <c r="G1172" s="1" t="s">
        <v>72</v>
      </c>
      <c r="H1172" s="1">
        <v>0.9961402</v>
      </c>
      <c r="I1172" s="1" t="s">
        <v>1041</v>
      </c>
    </row>
    <row r="1173">
      <c r="A1173" s="2" t="str">
        <f>HYPERLINK("https://ui.adsabs.harvard.edu/abs/2020Quant...4..293T/abstract","2020Quant...4..293T")</f>
        <v>2020Quant...4..293T</v>
      </c>
      <c r="B1173" s="2" t="str">
        <f>HYPERLINK("https://ui.adsabs.harvard.edu/abs/2020arXiv200100188T/abstract","2020arXiv200100188T")</f>
        <v>2020arXiv200100188T</v>
      </c>
      <c r="C1173" s="1" t="s">
        <v>70</v>
      </c>
      <c r="E1173" s="2" t="str">
        <f>HYPERLINK("https://ui.adsabs.harvard.edu/abs/2020arXiv200100188T/abstract","2020arXiv200100188T")</f>
        <v>2020arXiv200100188T</v>
      </c>
      <c r="G1173" s="1" t="s">
        <v>72</v>
      </c>
      <c r="H1173" s="1">
        <v>0.9961402</v>
      </c>
      <c r="I1173" s="1" t="s">
        <v>1041</v>
      </c>
    </row>
    <row r="1174">
      <c r="A1174" s="2" t="str">
        <f>HYPERLINK("https://ui.adsabs.harvard.edu/abs/2020Quant...4..294P/abstract","2020Quant...4..294P")</f>
        <v>2020Quant...4..294P</v>
      </c>
      <c r="B1174" s="2" t="str">
        <f>HYPERLINK("https://ui.adsabs.harvard.edu/abs/2019arXiv191111216P/abstract","2019arXiv191111216P")</f>
        <v>2019arXiv191111216P</v>
      </c>
      <c r="C1174" s="1" t="s">
        <v>70</v>
      </c>
      <c r="E1174" s="2" t="str">
        <f>HYPERLINK("https://ui.adsabs.harvard.edu/abs/2019arXiv191111216P/abstract","2019arXiv191111216P")</f>
        <v>2019arXiv191111216P</v>
      </c>
      <c r="G1174" s="1" t="s">
        <v>72</v>
      </c>
      <c r="H1174" s="1">
        <v>0.9961402</v>
      </c>
      <c r="I1174" s="1" t="s">
        <v>1041</v>
      </c>
    </row>
    <row r="1175">
      <c r="A1175" s="2" t="str">
        <f>HYPERLINK("https://ui.adsabs.harvard.edu/abs/2020Quant...4..296K/abstract","2020Quant...4..296K")</f>
        <v>2020Quant...4..296K</v>
      </c>
      <c r="B1175" s="2" t="str">
        <f>HYPERLINK("https://ui.adsabs.harvard.edu/abs/2019arXiv190210673K/abstract","2019arXiv190210673K")</f>
        <v>2019arXiv190210673K</v>
      </c>
      <c r="C1175" s="1" t="s">
        <v>70</v>
      </c>
      <c r="E1175" s="2" t="str">
        <f>HYPERLINK("https://ui.adsabs.harvard.edu/abs/2019arXiv190210673K/abstract","2019arXiv190210673K")</f>
        <v>2019arXiv190210673K</v>
      </c>
      <c r="G1175" s="1" t="s">
        <v>72</v>
      </c>
      <c r="H1175" s="1">
        <v>0.9961402</v>
      </c>
      <c r="I1175" s="1" t="s">
        <v>1041</v>
      </c>
    </row>
    <row r="1176">
      <c r="A1176" s="2" t="str">
        <f>HYPERLINK("https://ui.adsabs.harvard.edu/abs/2020Quant...4..297C/abstract","2020Quant...4..297C")</f>
        <v>2020Quant...4..297C</v>
      </c>
      <c r="B1176" s="2" t="str">
        <f>HYPERLINK("https://ui.adsabs.harvard.edu/abs/2020arXiv200211998C/abstract","2020arXiv200211998C")</f>
        <v>2020arXiv200211998C</v>
      </c>
      <c r="C1176" s="1" t="s">
        <v>70</v>
      </c>
      <c r="E1176" s="2" t="str">
        <f>HYPERLINK("https://ui.adsabs.harvard.edu/abs/2020arXiv200211998C/abstract","2020arXiv200211998C")</f>
        <v>2020arXiv200211998C</v>
      </c>
      <c r="G1176" s="1" t="s">
        <v>72</v>
      </c>
      <c r="H1176" s="1">
        <v>0.9961402</v>
      </c>
      <c r="I1176" s="1" t="s">
        <v>1041</v>
      </c>
    </row>
    <row r="1177">
      <c r="A1177" s="2" t="str">
        <f>HYPERLINK("https://ui.adsabs.harvard.edu/abs/2020Quant...4..298B/abstract","2020Quant...4..298B")</f>
        <v>2020Quant...4..298B</v>
      </c>
      <c r="B1177" s="2" t="str">
        <f>HYPERLINK("https://ui.adsabs.harvard.edu/abs/2019arXiv190806310B/abstract","2019arXiv190806310B")</f>
        <v>2019arXiv190806310B</v>
      </c>
      <c r="C1177" s="1" t="s">
        <v>70</v>
      </c>
      <c r="E1177" s="2" t="str">
        <f>HYPERLINK("https://ui.adsabs.harvard.edu/abs/2019arXiv190806310B/abstract","2019arXiv190806310B")</f>
        <v>2019arXiv190806310B</v>
      </c>
      <c r="G1177" s="1" t="s">
        <v>72</v>
      </c>
      <c r="H1177" s="1">
        <v>0.9961402</v>
      </c>
      <c r="I1177" s="1" t="s">
        <v>1041</v>
      </c>
    </row>
    <row r="1178">
      <c r="A1178" s="2" t="str">
        <f>HYPERLINK("https://ui.adsabs.harvard.edu/abs/2020Quant...4..299C/abstract","2020Quant...4..299C")</f>
        <v>2020Quant...4..299C</v>
      </c>
      <c r="B1178" s="2" t="str">
        <f>HYPERLINK("https://ui.adsabs.harvard.edu/abs/2019arXiv191004647C/abstract","2019arXiv191004647C")</f>
        <v>2019arXiv191004647C</v>
      </c>
      <c r="C1178" s="1" t="s">
        <v>70</v>
      </c>
      <c r="E1178" s="2" t="str">
        <f>HYPERLINK("https://ui.adsabs.harvard.edu/abs/2019arXiv191004647C/abstract","2019arXiv191004647C")</f>
        <v>2019arXiv191004647C</v>
      </c>
      <c r="G1178" s="1" t="s">
        <v>72</v>
      </c>
      <c r="H1178" s="1">
        <v>0.9961402</v>
      </c>
      <c r="I1178" s="1" t="s">
        <v>1041</v>
      </c>
    </row>
    <row r="1179">
      <c r="A1179" s="2" t="str">
        <f>HYPERLINK("https://ui.adsabs.harvard.edu/abs/2020Quant...4..300S/abstract","2020Quant...4..300S")</f>
        <v>2020Quant...4..300S</v>
      </c>
      <c r="B1179" s="2" t="str">
        <f>HYPERLINK("https://ui.adsabs.harvard.edu/abs/2019arXiv191200099S/abstract","2019arXiv191200099S")</f>
        <v>2019arXiv191200099S</v>
      </c>
      <c r="C1179" s="1" t="s">
        <v>70</v>
      </c>
      <c r="E1179" s="2" t="str">
        <f>HYPERLINK("https://ui.adsabs.harvard.edu/abs/2019arXiv191200099S/abstract","2019arXiv191200099S")</f>
        <v>2019arXiv191200099S</v>
      </c>
      <c r="G1179" s="1" t="s">
        <v>72</v>
      </c>
      <c r="H1179" s="1">
        <v>0.9961402</v>
      </c>
      <c r="I1179" s="1" t="s">
        <v>1041</v>
      </c>
    </row>
    <row r="1180">
      <c r="A1180" s="2" t="str">
        <f>HYPERLINK("https://ui.adsabs.harvard.edu/abs/2020Quant...4..302S/abstract","2020Quant...4..302S")</f>
        <v>2020Quant...4..302S</v>
      </c>
      <c r="B1180" s="2" t="str">
        <f>HYPERLINK("https://ui.adsabs.harvard.edu/abs/2020arXiv200212216S/abstract","2020arXiv200212216S")</f>
        <v>2020arXiv200212216S</v>
      </c>
      <c r="C1180" s="1" t="s">
        <v>70</v>
      </c>
      <c r="E1180" s="2" t="str">
        <f>HYPERLINK("https://ui.adsabs.harvard.edu/abs/2020arXiv200212216S/abstract","2020arXiv200212216S")</f>
        <v>2020arXiv200212216S</v>
      </c>
      <c r="G1180" s="1" t="s">
        <v>72</v>
      </c>
      <c r="H1180" s="1">
        <v>0.9961402</v>
      </c>
      <c r="I1180" s="1" t="s">
        <v>1041</v>
      </c>
    </row>
    <row r="1181">
      <c r="A1181" s="2" t="str">
        <f>HYPERLINK("https://ui.adsabs.harvard.edu/abs/2020Quant...4..304P/abstract","2020Quant...4..304P")</f>
        <v>2020Quant...4..304P</v>
      </c>
      <c r="B1181" s="2" t="str">
        <f>HYPERLINK("https://ui.adsabs.harvard.edu/abs/2019arXiv190906732P/abstract","2019arXiv190906732P")</f>
        <v>2019arXiv190906732P</v>
      </c>
      <c r="C1181" s="1" t="s">
        <v>70</v>
      </c>
      <c r="E1181" s="2" t="str">
        <f>HYPERLINK("https://ui.adsabs.harvard.edu/abs/2019arXiv190906732P/abstract","2019arXiv190906732P")</f>
        <v>2019arXiv190906732P</v>
      </c>
      <c r="G1181" s="1" t="s">
        <v>72</v>
      </c>
      <c r="H1181" s="1">
        <v>0.9961402</v>
      </c>
      <c r="I1181" s="1" t="s">
        <v>1041</v>
      </c>
    </row>
    <row r="1182">
      <c r="A1182" s="2" t="str">
        <f>HYPERLINK("https://ui.adsabs.harvard.edu/abs/2020Quant...4..305A/abstract","2020Quant...4..305A")</f>
        <v>2020Quant...4..305A</v>
      </c>
      <c r="B1182" s="2" t="str">
        <f>HYPERLINK("https://ui.adsabs.harvard.edu/abs/2019arXiv191003969A/abstract","2019arXiv191003969A")</f>
        <v>2019arXiv191003969A</v>
      </c>
      <c r="C1182" s="1" t="s">
        <v>70</v>
      </c>
      <c r="E1182" s="2" t="str">
        <f>HYPERLINK("https://ui.adsabs.harvard.edu/abs/2019arXiv191003969A/abstract","2019arXiv191003969A")</f>
        <v>2019arXiv191003969A</v>
      </c>
      <c r="G1182" s="1" t="s">
        <v>72</v>
      </c>
      <c r="H1182" s="1">
        <v>0.9961402</v>
      </c>
      <c r="I1182" s="1" t="s">
        <v>1041</v>
      </c>
    </row>
    <row r="1183">
      <c r="A1183" s="2" t="str">
        <f>HYPERLINK("https://ui.adsabs.harvard.edu/abs/2020Quant...4..307A/abstract","2020Quant...4..307A")</f>
        <v>2020Quant...4..307A</v>
      </c>
      <c r="B1183" s="2" t="str">
        <f>HYPERLINK("https://ui.adsabs.harvard.edu/abs/2019arXiv190510415A/abstract","2019arXiv190510415A")</f>
        <v>2019arXiv190510415A</v>
      </c>
      <c r="C1183" s="1" t="s">
        <v>70</v>
      </c>
      <c r="E1183" s="2" t="str">
        <f>HYPERLINK("https://ui.adsabs.harvard.edu/abs/2019arXiv190510415A/abstract","2019arXiv190510415A")</f>
        <v>2019arXiv190510415A</v>
      </c>
      <c r="G1183" s="1" t="s">
        <v>72</v>
      </c>
      <c r="H1183" s="1">
        <v>0.9961402</v>
      </c>
      <c r="I1183" s="1" t="s">
        <v>1041</v>
      </c>
    </row>
    <row r="1184">
      <c r="A1184" s="2" t="str">
        <f>HYPERLINK("https://ui.adsabs.harvard.edu/abs/2020Quant...4..309K/abstract","2020Quant...4..309K")</f>
        <v>2020Quant...4..309K</v>
      </c>
      <c r="B1184" s="2" t="str">
        <f>HYPERLINK("https://ui.adsabs.harvard.edu/abs/2019arXiv190402178K/abstract","2019arXiv190402178K")</f>
        <v>2019arXiv190402178K</v>
      </c>
      <c r="C1184" s="1" t="s">
        <v>70</v>
      </c>
      <c r="E1184" s="2" t="str">
        <f>HYPERLINK("https://ui.adsabs.harvard.edu/abs/2019arXiv190402178K/abstract","2019arXiv190402178K")</f>
        <v>2019arXiv190402178K</v>
      </c>
      <c r="G1184" s="1" t="s">
        <v>72</v>
      </c>
      <c r="H1184" s="1">
        <v>0.9961402</v>
      </c>
      <c r="I1184" s="1" t="s">
        <v>1041</v>
      </c>
    </row>
    <row r="1185">
      <c r="A1185" s="2" t="str">
        <f>HYPERLINK("https://ui.adsabs.harvard.edu/abs/2020Quant...4..311P/abstract","2020Quant...4..311P")</f>
        <v>2020Quant...4..311P</v>
      </c>
      <c r="B1185" s="2" t="str">
        <f>HYPERLINK("https://ui.adsabs.harvard.edu/abs/2020arXiv200300244P/abstract","2020arXiv200300244P")</f>
        <v>2020arXiv200300244P</v>
      </c>
      <c r="C1185" s="1" t="s">
        <v>70</v>
      </c>
      <c r="E1185" s="2" t="str">
        <f>HYPERLINK("https://ui.adsabs.harvard.edu/abs/2020arXiv200300244P/abstract","2020arXiv200300244P")</f>
        <v>2020arXiv200300244P</v>
      </c>
      <c r="G1185" s="1" t="s">
        <v>72</v>
      </c>
      <c r="H1185" s="1">
        <v>0.9961402</v>
      </c>
      <c r="I1185" s="1" t="s">
        <v>1041</v>
      </c>
    </row>
    <row r="1186">
      <c r="A1186" s="2" t="str">
        <f>HYPERLINK("https://ui.adsabs.harvard.edu/abs/2020Quant...4..314S/abstract","2020Quant...4..314S")</f>
        <v>2020Quant...4..314S</v>
      </c>
      <c r="B1186" s="2" t="str">
        <f>HYPERLINK("https://ui.adsabs.harvard.edu/abs/2019arXiv191001155S/abstract","2019arXiv191001155S")</f>
        <v>2019arXiv191001155S</v>
      </c>
      <c r="C1186" s="1" t="s">
        <v>70</v>
      </c>
      <c r="E1186" s="2" t="str">
        <f>HYPERLINK("https://ui.adsabs.harvard.edu/abs/2019arXiv191001155S/abstract","2019arXiv191001155S")</f>
        <v>2019arXiv191001155S</v>
      </c>
      <c r="G1186" s="1" t="s">
        <v>72</v>
      </c>
      <c r="H1186" s="1">
        <v>0.9961402</v>
      </c>
      <c r="I1186" s="1" t="s">
        <v>1041</v>
      </c>
    </row>
    <row r="1187">
      <c r="A1187" s="2" t="str">
        <f>HYPERLINK("https://ui.adsabs.harvard.edu/abs/2020Quant...4..315P/abstract","2020Quant...4..315P")</f>
        <v>2020Quant...4..315P</v>
      </c>
      <c r="B1187" s="2" t="str">
        <f>HYPERLINK("https://ui.adsabs.harvard.edu/abs/2019arXiv190705898P/abstract","2019arXiv190705898P")</f>
        <v>2019arXiv190705898P</v>
      </c>
      <c r="C1187" s="1" t="s">
        <v>70</v>
      </c>
      <c r="E1187" s="2" t="str">
        <f>HYPERLINK("https://ui.adsabs.harvard.edu/abs/2019arXiv190705898P/abstract","2019arXiv190705898P")</f>
        <v>2019arXiv190705898P</v>
      </c>
      <c r="G1187" s="1" t="s">
        <v>72</v>
      </c>
      <c r="H1187" s="1">
        <v>0.9961402</v>
      </c>
      <c r="I1187" s="1" t="s">
        <v>1041</v>
      </c>
    </row>
    <row r="1188">
      <c r="A1188" s="2" t="str">
        <f>HYPERLINK("https://ui.adsabs.harvard.edu/abs/2020Quant...4..318N/abstract","2020Quant...4..318N")</f>
        <v>2020Quant...4..318N</v>
      </c>
      <c r="B1188" s="2" t="str">
        <f>HYPERLINK("https://ui.adsabs.harvard.edu/abs/2020arXiv200313163N/abstract","2020arXiv200313163N")</f>
        <v>2020arXiv200313163N</v>
      </c>
      <c r="C1188" s="1" t="s">
        <v>70</v>
      </c>
      <c r="E1188" s="2" t="str">
        <f>HYPERLINK("https://ui.adsabs.harvard.edu/abs/2020arXiv200313163N/abstract","2020arXiv200313163N")</f>
        <v>2020arXiv200313163N</v>
      </c>
      <c r="G1188" s="1" t="s">
        <v>72</v>
      </c>
      <c r="H1188" s="1">
        <v>0.9961402</v>
      </c>
      <c r="I1188" s="1" t="s">
        <v>1041</v>
      </c>
    </row>
    <row r="1189">
      <c r="A1189" s="2" t="str">
        <f>HYPERLINK("https://ui.adsabs.harvard.edu/abs/2020Quant...4..319S/abstract","2020Quant...4..319S")</f>
        <v>2020Quant...4..319S</v>
      </c>
      <c r="B1189" s="2" t="str">
        <f>HYPERLINK("https://ui.adsabs.harvard.edu/abs/2019arXiv191104513S/abstract","2019arXiv191104513S")</f>
        <v>2019arXiv191104513S</v>
      </c>
      <c r="C1189" s="1" t="s">
        <v>70</v>
      </c>
      <c r="E1189" s="2" t="str">
        <f>HYPERLINK("https://ui.adsabs.harvard.edu/abs/2019arXiv191104513S/abstract","2019arXiv191104513S")</f>
        <v>2019arXiv191104513S</v>
      </c>
      <c r="G1189" s="1" t="s">
        <v>72</v>
      </c>
      <c r="H1189" s="1">
        <v>0.9961402</v>
      </c>
      <c r="I1189" s="1" t="s">
        <v>1041</v>
      </c>
    </row>
    <row r="1190">
      <c r="A1190" s="2" t="str">
        <f>HYPERLINK("https://ui.adsabs.harvard.edu/abs/2020Quant...4..321S/abstract","2020Quant...4..321S")</f>
        <v>2020Quant...4..321S</v>
      </c>
      <c r="B1190" s="2" t="str">
        <f>HYPERLINK("https://ui.adsabs.harvard.edu/abs/2019arXiv190809855S/abstract","2019arXiv190809855S")</f>
        <v>2019arXiv190809855S</v>
      </c>
      <c r="C1190" s="1" t="s">
        <v>70</v>
      </c>
      <c r="E1190" s="2" t="str">
        <f>HYPERLINK("https://ui.adsabs.harvard.edu/abs/2019arXiv190809855S/abstract","2019arXiv190809855S")</f>
        <v>2019arXiv190809855S</v>
      </c>
      <c r="G1190" s="1" t="s">
        <v>72</v>
      </c>
      <c r="H1190" s="1">
        <v>0.9961402</v>
      </c>
      <c r="I1190" s="1" t="s">
        <v>1041</v>
      </c>
    </row>
    <row r="1191">
      <c r="A1191" s="2" t="str">
        <f>HYPERLINK("https://ui.adsabs.harvard.edu/abs/2020Quant...4..322V/abstract","2020Quant...4..322V")</f>
        <v>2020Quant...4..322V</v>
      </c>
      <c r="B1191" s="2" t="str">
        <f>HYPERLINK("https://ui.adsabs.harvard.edu/abs/2020arXiv200313599V/abstract","2020arXiv200313599V")</f>
        <v>2020arXiv200313599V</v>
      </c>
      <c r="C1191" s="1" t="s">
        <v>70</v>
      </c>
      <c r="E1191" s="2" t="str">
        <f>HYPERLINK("https://ui.adsabs.harvard.edu/abs/2020arXiv200313599V/abstract","2020arXiv200313599V")</f>
        <v>2020arXiv200313599V</v>
      </c>
      <c r="G1191" s="1" t="s">
        <v>72</v>
      </c>
      <c r="H1191" s="1">
        <v>0.9961402</v>
      </c>
      <c r="I1191" s="1" t="s">
        <v>1041</v>
      </c>
    </row>
    <row r="1192">
      <c r="A1192" s="2" t="str">
        <f>HYPERLINK("https://ui.adsabs.harvard.edu/abs/2020Quant...4..324L/abstract","2020Quant...4..324L")</f>
        <v>2020Quant...4..324L</v>
      </c>
      <c r="B1192" s="2" t="str">
        <f>HYPERLINK("https://ui.adsabs.harvard.edu/abs/2020arXiv200609415L/abstract","2020arXiv200609415L")</f>
        <v>2020arXiv200609415L</v>
      </c>
      <c r="C1192" s="1" t="s">
        <v>70</v>
      </c>
      <c r="E1192" s="2" t="str">
        <f>HYPERLINK("https://ui.adsabs.harvard.edu/abs/2020arXiv200609415L/abstract","2020arXiv200609415L")</f>
        <v>2020arXiv200609415L</v>
      </c>
      <c r="G1192" s="1" t="s">
        <v>72</v>
      </c>
      <c r="H1192" s="1">
        <v>0.9961402</v>
      </c>
      <c r="I1192" s="1" t="s">
        <v>1041</v>
      </c>
    </row>
    <row r="1193">
      <c r="A1193" s="2" t="str">
        <f>HYPERLINK("https://ui.adsabs.harvard.edu/abs/2020Quant...4..325K/abstract","2020Quant...4..325K")</f>
        <v>2020Quant...4..325K</v>
      </c>
      <c r="B1193" s="2" t="str">
        <f>HYPERLINK("https://ui.adsabs.harvard.edu/abs/2020arXiv200408402K/abstract","2020arXiv200408402K")</f>
        <v>2020arXiv200408402K</v>
      </c>
      <c r="C1193" s="1" t="s">
        <v>70</v>
      </c>
      <c r="E1193" s="2" t="str">
        <f>HYPERLINK("https://ui.adsabs.harvard.edu/abs/2020arXiv200408402K/abstract","2020arXiv200408402K")</f>
        <v>2020arXiv200408402K</v>
      </c>
      <c r="G1193" s="1" t="s">
        <v>72</v>
      </c>
      <c r="H1193" s="1">
        <v>0.9961402</v>
      </c>
      <c r="I1193" s="1" t="s">
        <v>1041</v>
      </c>
    </row>
    <row r="1194">
      <c r="A1194" s="2" t="str">
        <f>HYPERLINK("https://ui.adsabs.harvard.edu/abs/2020Quant...4..326D/abstract","2020Quant...4..326D")</f>
        <v>2020Quant...4..326D</v>
      </c>
      <c r="B1194" s="2" t="str">
        <f>HYPERLINK("https://ui.adsabs.harvard.edu/abs/2020arXiv200309063D/abstract","2020arXiv200309063D")</f>
        <v>2020arXiv200309063D</v>
      </c>
      <c r="C1194" s="1" t="s">
        <v>70</v>
      </c>
      <c r="E1194" s="2" t="str">
        <f>HYPERLINK("https://ui.adsabs.harvard.edu/abs/2020arXiv200309063D/abstract","2020arXiv200309063D")</f>
        <v>2020arXiv200309063D</v>
      </c>
      <c r="G1194" s="1" t="s">
        <v>72</v>
      </c>
      <c r="H1194" s="1">
        <v>0.9961402</v>
      </c>
      <c r="I1194" s="1" t="s">
        <v>1041</v>
      </c>
    </row>
    <row r="1195">
      <c r="A1195" s="2" t="str">
        <f>HYPERLINK("https://ui.adsabs.harvard.edu/abs/2020Quant...4..327H/abstract","2020Quant...4..327H")</f>
        <v>2020Quant...4..327H</v>
      </c>
      <c r="B1195" s="2" t="str">
        <f>HYPERLINK("https://ui.adsabs.harvard.edu/abs/2020arXiv200612326H/abstract","2020arXiv200612326H")</f>
        <v>2020arXiv200612326H</v>
      </c>
      <c r="C1195" s="1" t="s">
        <v>70</v>
      </c>
      <c r="E1195" s="2" t="str">
        <f>HYPERLINK("https://ui.adsabs.harvard.edu/abs/2020arXiv200612326H/abstract","2020arXiv200612326H")</f>
        <v>2020arXiv200612326H</v>
      </c>
      <c r="G1195" s="1" t="s">
        <v>72</v>
      </c>
      <c r="H1195" s="1">
        <v>0.9961402</v>
      </c>
      <c r="I1195" s="1" t="s">
        <v>1041</v>
      </c>
    </row>
    <row r="1196">
      <c r="A1196" s="2" t="str">
        <f>HYPERLINK("https://ui.adsabs.harvard.edu/abs/2020Quant...4..328N/abstract","2020Quant...4..328N")</f>
        <v>2020Quant...4..328N</v>
      </c>
      <c r="B1196" s="2" t="str">
        <f>HYPERLINK("https://ui.adsabs.harvard.edu/abs/2020arXiv200301142N/abstract","2020arXiv200301142N")</f>
        <v>2020arXiv200301142N</v>
      </c>
      <c r="C1196" s="1" t="s">
        <v>70</v>
      </c>
      <c r="E1196" s="2" t="str">
        <f>HYPERLINK("https://ui.adsabs.harvard.edu/abs/2020arXiv200301142N/abstract","2020arXiv200301142N")</f>
        <v>2020arXiv200301142N</v>
      </c>
      <c r="G1196" s="1" t="s">
        <v>72</v>
      </c>
      <c r="H1196" s="1">
        <v>0.9961402</v>
      </c>
      <c r="I1196" s="1" t="s">
        <v>1041</v>
      </c>
    </row>
    <row r="1197">
      <c r="A1197" s="2" t="str">
        <f>HYPERLINK("https://ui.adsabs.harvard.edu/abs/2020Quant...4..329M/abstract","2020Quant...4..329M")</f>
        <v>2020Quant...4..329M</v>
      </c>
      <c r="B1197" s="2" t="str">
        <f>HYPERLINK("https://ui.adsabs.harvard.edu/abs/2019arXiv191206336M/abstract","2019arXiv191206336M")</f>
        <v>2019arXiv191206336M</v>
      </c>
      <c r="C1197" s="1" t="s">
        <v>70</v>
      </c>
      <c r="E1197" s="2" t="str">
        <f>HYPERLINK("https://ui.adsabs.harvard.edu/abs/2019arXiv191206336M/abstract","2019arXiv191206336M")</f>
        <v>2019arXiv191206336M</v>
      </c>
      <c r="G1197" s="1" t="s">
        <v>72</v>
      </c>
      <c r="H1197" s="1">
        <v>0.9961402</v>
      </c>
      <c r="I1197" s="1" t="s">
        <v>1041</v>
      </c>
    </row>
    <row r="1198">
      <c r="A1198" s="2" t="str">
        <f>HYPERLINK("https://ui.adsabs.harvard.edu/abs/2020Quant...4..330V/abstract","2020Quant...4..330V")</f>
        <v>2020Quant...4..330V</v>
      </c>
      <c r="B1198" s="2" t="str">
        <f>HYPERLINK("https://ui.adsabs.harvard.edu/abs/2019arXiv190507361V/abstract","2019arXiv190507361V")</f>
        <v>2019arXiv190507361V</v>
      </c>
      <c r="C1198" s="1" t="s">
        <v>70</v>
      </c>
      <c r="E1198" s="2" t="str">
        <f>HYPERLINK("https://ui.adsabs.harvard.edu/abs/2019arXiv190507361V/abstract","2019arXiv190507361V")</f>
        <v>2019arXiv190507361V</v>
      </c>
      <c r="G1198" s="1" t="s">
        <v>72</v>
      </c>
      <c r="H1198" s="1">
        <v>0.9961402</v>
      </c>
      <c r="I1198" s="1" t="s">
        <v>1041</v>
      </c>
    </row>
    <row r="1199">
      <c r="A1199" s="2" t="str">
        <f>HYPERLINK("https://ui.adsabs.harvard.edu/abs/2020Quant...4..331C/abstract","2020Quant...4..331C")</f>
        <v>2020Quant...4..331C</v>
      </c>
      <c r="B1199" s="2" t="str">
        <f>HYPERLINK("https://ui.adsabs.harvard.edu/abs/2019arXiv190802829C/abstract","2019arXiv190802829C")</f>
        <v>2019arXiv190802829C</v>
      </c>
      <c r="C1199" s="1" t="s">
        <v>70</v>
      </c>
      <c r="E1199" s="2" t="str">
        <f>HYPERLINK("https://ui.adsabs.harvard.edu/abs/2019arXiv190802829C/abstract","2019arXiv190802829C")</f>
        <v>2019arXiv190802829C</v>
      </c>
      <c r="G1199" s="1" t="s">
        <v>72</v>
      </c>
      <c r="H1199" s="1">
        <v>0.9961402</v>
      </c>
      <c r="I1199" s="1" t="s">
        <v>1041</v>
      </c>
    </row>
    <row r="1200">
      <c r="A1200" s="2" t="str">
        <f>HYPERLINK("https://ui.adsabs.harvard.edu/abs/2020Quant...4..332T/abstract","2020Quant...4..332T")</f>
        <v>2020Quant...4..332T</v>
      </c>
      <c r="B1200" s="2" t="str">
        <f>HYPERLINK("https://ui.adsabs.harvard.edu/abs/2019arXiv190905656T/abstract","2019arXiv190905656T")</f>
        <v>2019arXiv190905656T</v>
      </c>
      <c r="C1200" s="1" t="s">
        <v>70</v>
      </c>
      <c r="E1200" s="2" t="str">
        <f>HYPERLINK("https://ui.adsabs.harvard.edu/abs/2019arXiv190905656T/abstract","2019arXiv190905656T")</f>
        <v>2019arXiv190905656T</v>
      </c>
      <c r="G1200" s="1" t="s">
        <v>72</v>
      </c>
      <c r="H1200" s="1">
        <v>0.9961402</v>
      </c>
      <c r="I1200" s="1" t="s">
        <v>1041</v>
      </c>
    </row>
    <row r="1201">
      <c r="A1201" s="2" t="str">
        <f>HYPERLINK("https://ui.adsabs.harvard.edu/abs/2020Quant...4..334C/abstract","2020Quant...4..334C")</f>
        <v>2020Quant...4..334C</v>
      </c>
      <c r="B1201" s="2" t="str">
        <f>HYPERLINK("https://ui.adsabs.harvard.edu/abs/2020arXiv200407681C/abstract","2020arXiv200407681C")</f>
        <v>2020arXiv200407681C</v>
      </c>
      <c r="C1201" s="1" t="s">
        <v>70</v>
      </c>
      <c r="E1201" s="2" t="str">
        <f>HYPERLINK("https://ui.adsabs.harvard.edu/abs/2020arXiv200407681C/abstract","2020arXiv200407681C")</f>
        <v>2020arXiv200407681C</v>
      </c>
      <c r="G1201" s="1" t="s">
        <v>72</v>
      </c>
      <c r="H1201" s="1">
        <v>0.9961402</v>
      </c>
      <c r="I1201" s="1" t="s">
        <v>1041</v>
      </c>
    </row>
    <row r="1202">
      <c r="A1202" s="2" t="str">
        <f>HYPERLINK("https://ui.adsabs.harvard.edu/abs/2020Quant...4..335P/abstract","2020Quant...4..335P")</f>
        <v>2020Quant...4..335P</v>
      </c>
      <c r="B1202" s="2" t="str">
        <f>HYPERLINK("https://ui.adsabs.harvard.edu/abs/2020arXiv200311556P/abstract","2020arXiv200311556P")</f>
        <v>2020arXiv200311556P</v>
      </c>
      <c r="C1202" s="1" t="s">
        <v>70</v>
      </c>
      <c r="E1202" s="2" t="str">
        <f>HYPERLINK("https://ui.adsabs.harvard.edu/abs/2020arXiv200311556P/abstract","2020arXiv200311556P")</f>
        <v>2020arXiv200311556P</v>
      </c>
      <c r="G1202" s="1" t="s">
        <v>72</v>
      </c>
      <c r="H1202" s="1">
        <v>0.9961402</v>
      </c>
      <c r="I1202" s="1" t="s">
        <v>1041</v>
      </c>
    </row>
    <row r="1203">
      <c r="A1203" s="2" t="str">
        <f>HYPERLINK("https://ui.adsabs.harvard.edu/abs/2020Quant...4..336A/abstract","2020Quant...4..336A")</f>
        <v>2020Quant...4..336A</v>
      </c>
      <c r="B1203" s="2" t="str">
        <f>HYPERLINK("https://ui.adsabs.harvard.edu/abs/2019arXiv190707460A/abstract","2019arXiv190707460A")</f>
        <v>2019arXiv190707460A</v>
      </c>
      <c r="C1203" s="1" t="s">
        <v>70</v>
      </c>
      <c r="E1203" s="2" t="str">
        <f>HYPERLINK("https://ui.adsabs.harvard.edu/abs/2019arXiv190707460A/abstract","2019arXiv190707460A")</f>
        <v>2019arXiv190707460A</v>
      </c>
      <c r="G1203" s="1" t="s">
        <v>72</v>
      </c>
      <c r="H1203" s="1">
        <v>0.9961402</v>
      </c>
      <c r="I1203" s="1" t="s">
        <v>1041</v>
      </c>
    </row>
    <row r="1204">
      <c r="A1204" s="2" t="str">
        <f>HYPERLINK("https://ui.adsabs.harvard.edu/abs/2020Quant...4..337S/abstract","2020Quant...4..337S")</f>
        <v>2020Quant...4..337S</v>
      </c>
      <c r="B1204" s="2" t="str">
        <f>HYPERLINK("https://ui.adsabs.harvard.edu/abs/2019arXiv190410042S/abstract","2019arXiv190410042S")</f>
        <v>2019arXiv190410042S</v>
      </c>
      <c r="C1204" s="1" t="s">
        <v>70</v>
      </c>
      <c r="E1204" s="2" t="str">
        <f>HYPERLINK("https://ui.adsabs.harvard.edu/abs/2019arXiv190410042S/abstract","2019arXiv190410042S")</f>
        <v>2019arXiv190410042S</v>
      </c>
      <c r="G1204" s="1" t="s">
        <v>72</v>
      </c>
      <c r="H1204" s="1">
        <v>0.9961402</v>
      </c>
      <c r="I1204" s="1" t="s">
        <v>1041</v>
      </c>
    </row>
    <row r="1205">
      <c r="A1205" s="2" t="str">
        <f>HYPERLINK("https://ui.adsabs.harvard.edu/abs/2020Quant...4..338S/abstract","2020Quant...4..338S")</f>
        <v>2020Quant...4..338S</v>
      </c>
      <c r="B1205" s="2" t="str">
        <f>HYPERLINK("https://ui.adsabs.harvard.edu/abs/2019arXiv191112456S/abstract","2019arXiv191112456S")</f>
        <v>2019arXiv191112456S</v>
      </c>
      <c r="C1205" s="1" t="s">
        <v>70</v>
      </c>
      <c r="E1205" s="2" t="str">
        <f>HYPERLINK("https://ui.adsabs.harvard.edu/abs/2019arXiv191112456S/abstract","2019arXiv191112456S")</f>
        <v>2019arXiv191112456S</v>
      </c>
      <c r="G1205" s="1" t="s">
        <v>72</v>
      </c>
      <c r="H1205" s="1">
        <v>0.9961402</v>
      </c>
      <c r="I1205" s="1" t="s">
        <v>1041</v>
      </c>
    </row>
    <row r="1206">
      <c r="A1206" s="2" t="str">
        <f>HYPERLINK("https://ui.adsabs.harvard.edu/abs/2020Quant...4..339S/abstract","2020Quant...4..339S")</f>
        <v>2020Quant...4..339S</v>
      </c>
      <c r="B1206" s="2" t="str">
        <f>HYPERLINK("https://ui.adsabs.harvard.edu/abs/2020arXiv200311073S/abstract","2020arXiv200311073S")</f>
        <v>2020arXiv200311073S</v>
      </c>
      <c r="C1206" s="1" t="s">
        <v>70</v>
      </c>
      <c r="E1206" s="2" t="str">
        <f>HYPERLINK("https://ui.adsabs.harvard.edu/abs/2020arXiv200311073S/abstract","2020arXiv200311073S")</f>
        <v>2020arXiv200311073S</v>
      </c>
      <c r="G1206" s="1" t="s">
        <v>72</v>
      </c>
      <c r="H1206" s="1">
        <v>0.9961402</v>
      </c>
      <c r="I1206" s="1" t="s">
        <v>1041</v>
      </c>
    </row>
    <row r="1207">
      <c r="A1207" s="2" t="str">
        <f>HYPERLINK("https://ui.adsabs.harvard.edu/abs/2020Quant...4..340M/abstract","2020Quant...4..340M")</f>
        <v>2020Quant...4..340M</v>
      </c>
      <c r="B1207" s="2" t="str">
        <f>HYPERLINK("https://ui.adsabs.harvard.edu/abs/2019arXiv191208278M/abstract","2019arXiv191208278M")</f>
        <v>2019arXiv191208278M</v>
      </c>
      <c r="C1207" s="1" t="s">
        <v>70</v>
      </c>
      <c r="E1207" s="2" t="str">
        <f>HYPERLINK("https://ui.adsabs.harvard.edu/abs/2019arXiv191208278M/abstract","2019arXiv191208278M")</f>
        <v>2019arXiv191208278M</v>
      </c>
      <c r="G1207" s="1" t="s">
        <v>72</v>
      </c>
      <c r="H1207" s="1">
        <v>0.9961402</v>
      </c>
      <c r="I1207" s="1" t="s">
        <v>1041</v>
      </c>
    </row>
    <row r="1208">
      <c r="A1208" s="2" t="str">
        <f>HYPERLINK("https://ui.adsabs.harvard.edu/abs/2020Quant...4..341L/abstract","2020Quant...4..341L")</f>
        <v>2020Quant...4..341L</v>
      </c>
      <c r="B1208" s="2" t="str">
        <f>HYPERLINK("https://ui.adsabs.harvard.edu/abs/2019arXiv191210877L/abstract","2019arXiv191210877L")</f>
        <v>2019arXiv191210877L</v>
      </c>
      <c r="C1208" s="1" t="s">
        <v>70</v>
      </c>
      <c r="E1208" s="2" t="str">
        <f>HYPERLINK("https://ui.adsabs.harvard.edu/abs/2019arXiv191210877L/abstract","2019arXiv191210877L")</f>
        <v>2019arXiv191210877L</v>
      </c>
      <c r="G1208" s="1" t="s">
        <v>72</v>
      </c>
      <c r="H1208" s="1">
        <v>0.9961402</v>
      </c>
      <c r="I1208" s="1" t="s">
        <v>1041</v>
      </c>
    </row>
    <row r="1209">
      <c r="A1209" s="2" t="str">
        <f>HYPERLINK("https://ui.adsabs.harvard.edu/abs/2020Quant...4..344B/abstract","2020Quant...4..344B")</f>
        <v>2020Quant...4..344B</v>
      </c>
      <c r="B1209" s="2" t="str">
        <f>HYPERLINK("https://ui.adsabs.harvard.edu/abs/2019arXiv191111056B/abstract","2019arXiv191111056B")</f>
        <v>2019arXiv191111056B</v>
      </c>
      <c r="C1209" s="1" t="s">
        <v>70</v>
      </c>
      <c r="E1209" s="2" t="str">
        <f>HYPERLINK("https://ui.adsabs.harvard.edu/abs/2019arXiv191111056B/abstract","2019arXiv191111056B")</f>
        <v>2019arXiv191111056B</v>
      </c>
      <c r="G1209" s="1" t="s">
        <v>72</v>
      </c>
      <c r="H1209" s="1">
        <v>0.9961402</v>
      </c>
      <c r="I1209" s="1" t="s">
        <v>1041</v>
      </c>
    </row>
    <row r="1210">
      <c r="A1210" s="2" t="str">
        <f>HYPERLINK("https://ui.adsabs.harvard.edu/abs/2020Quant...4..345C/abstract","2020Quant...4..345C")</f>
        <v>2020Quant...4..345C</v>
      </c>
      <c r="B1210" s="2" t="str">
        <f>HYPERLINK("https://ui.adsabs.harvard.edu/abs/2019arXiv190907293C/abstract","2019arXiv190907293C")</f>
        <v>2019arXiv190907293C</v>
      </c>
      <c r="C1210" s="1" t="s">
        <v>70</v>
      </c>
      <c r="E1210" s="2" t="str">
        <f>HYPERLINK("https://ui.adsabs.harvard.edu/abs/2019arXiv190907293C/abstract","2019arXiv190907293C")</f>
        <v>2019arXiv190907293C</v>
      </c>
      <c r="G1210" s="1" t="s">
        <v>72</v>
      </c>
      <c r="H1210" s="1">
        <v>0.9961402</v>
      </c>
      <c r="I1210" s="1" t="s">
        <v>1041</v>
      </c>
    </row>
    <row r="1211">
      <c r="A1211" s="2" t="str">
        <f>HYPERLINK("https://ui.adsabs.harvard.edu/abs/2020Quant...4..348D/abstract","2020Quant...4..348D")</f>
        <v>2020Quant...4..348D</v>
      </c>
      <c r="B1211" s="2" t="str">
        <f>HYPERLINK("https://ui.adsabs.harvard.edu/abs/2019arXiv190708019D/abstract","2019arXiv190708019D")</f>
        <v>2019arXiv190708019D</v>
      </c>
      <c r="C1211" s="1" t="s">
        <v>70</v>
      </c>
      <c r="E1211" s="2" t="str">
        <f>HYPERLINK("https://ui.adsabs.harvard.edu/abs/2019arXiv190708019D/abstract","2019arXiv190708019D")</f>
        <v>2019arXiv190708019D</v>
      </c>
      <c r="G1211" s="1" t="s">
        <v>72</v>
      </c>
      <c r="H1211" s="1">
        <v>0.9961402</v>
      </c>
      <c r="I1211" s="1" t="s">
        <v>1041</v>
      </c>
    </row>
    <row r="1212">
      <c r="A1212" s="2" t="str">
        <f>HYPERLINK("https://ui.adsabs.harvard.edu/abs/2020Quant...4..351L/abstract","2020Quant...4..351L")</f>
        <v>2020Quant...4..351L</v>
      </c>
      <c r="B1212" s="2" t="str">
        <f>HYPERLINK("https://ui.adsabs.harvard.edu/abs/2019arXiv191112978L/abstract","2019arXiv191112978L")</f>
        <v>2019arXiv191112978L</v>
      </c>
      <c r="C1212" s="1" t="s">
        <v>70</v>
      </c>
      <c r="E1212" s="2" t="str">
        <f>HYPERLINK("https://ui.adsabs.harvard.edu/abs/2019arXiv191112978L/abstract","2019arXiv191112978L")</f>
        <v>2019arXiv191112978L</v>
      </c>
      <c r="G1212" s="1" t="s">
        <v>72</v>
      </c>
      <c r="H1212" s="1">
        <v>0.9961402</v>
      </c>
      <c r="I1212" s="1" t="s">
        <v>1041</v>
      </c>
    </row>
    <row r="1213">
      <c r="A1213" s="2" t="str">
        <f>HYPERLINK("https://ui.adsabs.harvard.edu/abs/2020Quant...4..352C/abstract","2020Quant...4..352C")</f>
        <v>2020Quant...4..352C</v>
      </c>
      <c r="B1213" s="2" t="str">
        <f>HYPERLINK("https://ui.adsabs.harvard.edu/abs/2020arXiv200700307C/abstract","2020arXiv200700307C")</f>
        <v>2020arXiv200700307C</v>
      </c>
      <c r="C1213" s="1" t="s">
        <v>70</v>
      </c>
      <c r="E1213" s="2" t="str">
        <f>HYPERLINK("https://ui.adsabs.harvard.edu/abs/2020arXiv200700307C/abstract","2020arXiv200700307C")</f>
        <v>2020arXiv200700307C</v>
      </c>
      <c r="G1213" s="1" t="s">
        <v>72</v>
      </c>
      <c r="H1213" s="1">
        <v>0.9961402</v>
      </c>
      <c r="I1213" s="1" t="s">
        <v>1041</v>
      </c>
    </row>
    <row r="1214">
      <c r="A1214" s="2" t="str">
        <f>HYPERLINK("https://ui.adsabs.harvard.edu/abs/2020Quant...4..354F/abstract","2020Quant...4..354F")</f>
        <v>2020Quant...4..354F</v>
      </c>
      <c r="B1214" s="2" t="str">
        <f>HYPERLINK("https://ui.adsabs.harvard.edu/abs/2020arXiv200309042F/abstract","2020arXiv200309042F")</f>
        <v>2020arXiv200309042F</v>
      </c>
      <c r="C1214" s="1" t="s">
        <v>70</v>
      </c>
      <c r="E1214" s="2" t="str">
        <f>HYPERLINK("https://ui.adsabs.harvard.edu/abs/2020arXiv200309042F/abstract","2020arXiv200309042F")</f>
        <v>2020arXiv200309042F</v>
      </c>
      <c r="G1214" s="1" t="s">
        <v>72</v>
      </c>
      <c r="H1214" s="1">
        <v>0.9961402</v>
      </c>
      <c r="I1214" s="1" t="s">
        <v>1041</v>
      </c>
    </row>
    <row r="1215">
      <c r="A1215" s="2" t="str">
        <f>HYPERLINK("https://ui.adsabs.harvard.edu/abs/2020Quant...4..355K/abstract","2020Quant...4..355K")</f>
        <v>2020Quant...4..355K</v>
      </c>
      <c r="B1215" s="2" t="str">
        <f>HYPERLINK("https://ui.adsabs.harvard.edu/abs/2020arXiv200202458K/abstract","2020arXiv200202458K")</f>
        <v>2020arXiv200202458K</v>
      </c>
      <c r="C1215" s="1" t="s">
        <v>70</v>
      </c>
      <c r="E1215" s="2" t="str">
        <f>HYPERLINK("https://ui.adsabs.harvard.edu/abs/2020arXiv200202458K/abstract","2020arXiv200202458K")</f>
        <v>2020arXiv200202458K</v>
      </c>
      <c r="G1215" s="1" t="s">
        <v>72</v>
      </c>
      <c r="H1215" s="1">
        <v>0.9961402</v>
      </c>
      <c r="I1215" s="1" t="s">
        <v>1041</v>
      </c>
    </row>
    <row r="1216">
      <c r="A1216" s="2" t="str">
        <f>HYPERLINK("https://ui.adsabs.harvard.edu/abs/2020Quant...4..358M/abstract","2020Quant...4..358M")</f>
        <v>2020Quant...4..358M</v>
      </c>
      <c r="B1216" s="2" t="str">
        <f>HYPERLINK("https://ui.adsabs.harvard.edu/abs/2019arXiv190708882M/abstract","2019arXiv190708882M")</f>
        <v>2019arXiv190708882M</v>
      </c>
      <c r="C1216" s="1" t="s">
        <v>70</v>
      </c>
      <c r="E1216" s="2" t="str">
        <f>HYPERLINK("https://ui.adsabs.harvard.edu/abs/2019arXiv190708882M/abstract","2019arXiv190708882M")</f>
        <v>2019arXiv190708882M</v>
      </c>
      <c r="G1216" s="1" t="s">
        <v>72</v>
      </c>
      <c r="H1216" s="1">
        <v>0.9961402</v>
      </c>
      <c r="I1216" s="1" t="s">
        <v>1041</v>
      </c>
    </row>
    <row r="1217">
      <c r="A1217" s="2" t="str">
        <f>HYPERLINK("https://ui.adsabs.harvard.edu/abs/2020Quant...4..364D/abstract","2020Quant...4..364D")</f>
        <v>2020Quant...4..364D</v>
      </c>
      <c r="B1217" s="2" t="str">
        <f>HYPERLINK("https://ui.adsabs.harvard.edu/abs/2020arXiv200701470D/abstract","2020arXiv200701470D")</f>
        <v>2020arXiv200701470D</v>
      </c>
      <c r="C1217" s="1" t="s">
        <v>70</v>
      </c>
      <c r="E1217" s="2" t="str">
        <f>HYPERLINK("https://ui.adsabs.harvard.edu/abs/2020arXiv200701470D/abstract","2020arXiv200701470D")</f>
        <v>2020arXiv200701470D</v>
      </c>
      <c r="G1217" s="1" t="s">
        <v>72</v>
      </c>
      <c r="H1217" s="1">
        <v>0.9961402</v>
      </c>
      <c r="I1217" s="1" t="s">
        <v>1041</v>
      </c>
    </row>
    <row r="1218">
      <c r="A1218" s="2" t="str">
        <f>HYPERLINK("https://ui.adsabs.harvard.edu/abs/2020Quant...4..366M/abstract","2020Quant...4..366M")</f>
        <v>2020Quant...4..366M</v>
      </c>
      <c r="B1218" s="2" t="str">
        <f>HYPERLINK("https://ui.adsabs.harvard.edu/abs/2020arXiv200411002M/abstract","2020arXiv200411002M")</f>
        <v>2020arXiv200411002M</v>
      </c>
      <c r="C1218" s="1" t="s">
        <v>70</v>
      </c>
      <c r="E1218" s="2" t="str">
        <f>HYPERLINK("https://ui.adsabs.harvard.edu/abs/2020arXiv200411002M/abstract","2020arXiv200411002M")</f>
        <v>2020arXiv200411002M</v>
      </c>
      <c r="G1218" s="1" t="s">
        <v>72</v>
      </c>
      <c r="H1218" s="1">
        <v>0.9961402</v>
      </c>
      <c r="I1218" s="1" t="s">
        <v>1041</v>
      </c>
    </row>
    <row r="1219">
      <c r="A1219" s="2" t="str">
        <f>HYPERLINK("https://ui.adsabs.harvard.edu/abs/2020Quant...4..368F/abstract","2020Quant...4..368F")</f>
        <v>2020Quant...4..368F</v>
      </c>
      <c r="B1219" s="2" t="str">
        <f>HYPERLINK("https://ui.adsabs.harvard.edu/abs/2019arXiv190413318F/abstract","2019arXiv190413318F")</f>
        <v>2019arXiv190413318F</v>
      </c>
      <c r="C1219" s="1" t="s">
        <v>70</v>
      </c>
      <c r="E1219" s="2" t="str">
        <f>HYPERLINK("https://ui.adsabs.harvard.edu/abs/2019arXiv190413318F/abstract","2019arXiv190413318F")</f>
        <v>2019arXiv190413318F</v>
      </c>
      <c r="G1219" s="1" t="s">
        <v>72</v>
      </c>
      <c r="H1219" s="1">
        <v>0.9961402</v>
      </c>
      <c r="I1219" s="1" t="s">
        <v>1041</v>
      </c>
    </row>
    <row r="1220">
      <c r="A1220" s="2" t="str">
        <f>HYPERLINK("https://ui.adsabs.harvard.edu/abs/2020Quant...4..369G/abstract","2020Quant...4..369G")</f>
        <v>2020Quant...4..369G</v>
      </c>
      <c r="B1220" s="2" t="str">
        <f>HYPERLINK("https://ui.adsabs.harvard.edu/abs/2020arXiv200612042G/abstract","2020arXiv200612042G")</f>
        <v>2020arXiv200612042G</v>
      </c>
      <c r="C1220" s="1" t="s">
        <v>70</v>
      </c>
      <c r="E1220" s="2" t="str">
        <f>HYPERLINK("https://ui.adsabs.harvard.edu/abs/2020arXiv200612042G/abstract","2020arXiv200612042G")</f>
        <v>2020arXiv200612042G</v>
      </c>
      <c r="G1220" s="1" t="s">
        <v>72</v>
      </c>
      <c r="H1220" s="1">
        <v>0.9961402</v>
      </c>
      <c r="I1220" s="1" t="s">
        <v>1041</v>
      </c>
    </row>
    <row r="1221">
      <c r="A1221" s="2" t="str">
        <f>HYPERLINK("https://ui.adsabs.harvard.edu/abs/2020Quant...4..370P/abstract","2020Quant...4..370P")</f>
        <v>2020Quant...4..370P</v>
      </c>
      <c r="B1221" s="2" t="str">
        <f>HYPERLINK("https://ui.adsabs.harvard.edu/abs/2020arXiv200614040P/abstract","2020arXiv200614040P")</f>
        <v>2020arXiv200614040P</v>
      </c>
      <c r="C1221" s="1" t="s">
        <v>70</v>
      </c>
      <c r="E1221" s="2" t="str">
        <f>HYPERLINK("https://ui.adsabs.harvard.edu/abs/2020arXiv200614040P/abstract","2020arXiv200614040P")</f>
        <v>2020arXiv200614040P</v>
      </c>
      <c r="G1221" s="1" t="s">
        <v>72</v>
      </c>
      <c r="H1221" s="1">
        <v>0.9961402</v>
      </c>
      <c r="I1221" s="1" t="s">
        <v>1041</v>
      </c>
    </row>
    <row r="1222">
      <c r="A1222" s="2" t="str">
        <f>HYPERLINK("https://ui.adsabs.harvard.edu/abs/2020Quant...4..371G/abstract","2020Quant...4..371G")</f>
        <v>2020Quant...4..371G</v>
      </c>
      <c r="B1222" s="2" t="str">
        <f>HYPERLINK("https://ui.adsabs.harvard.edu/abs/2020arXiv200502422G/abstract","2020arXiv200502422G")</f>
        <v>2020arXiv200502422G</v>
      </c>
      <c r="C1222" s="1" t="s">
        <v>70</v>
      </c>
      <c r="E1222" s="2" t="str">
        <f>HYPERLINK("https://ui.adsabs.harvard.edu/abs/2020arXiv200502422G/abstract","2020arXiv200502422G")</f>
        <v>2020arXiv200502422G</v>
      </c>
      <c r="G1222" s="1" t="s">
        <v>72</v>
      </c>
      <c r="H1222" s="1">
        <v>0.9961402</v>
      </c>
      <c r="I1222" s="1" t="s">
        <v>1041</v>
      </c>
    </row>
    <row r="1223">
      <c r="A1223" s="2" t="str">
        <f>HYPERLINK("https://ui.adsabs.harvard.edu/abs/2020Quant...4..372L/abstract","2020Quant...4..372L")</f>
        <v>2020Quant...4..372L</v>
      </c>
      <c r="B1223" s="2" t="str">
        <f>HYPERLINK("https://ui.adsabs.harvard.edu/abs/2020arXiv200212508L/abstract","2020arXiv200212508L")</f>
        <v>2020arXiv200212508L</v>
      </c>
      <c r="C1223" s="1" t="s">
        <v>70</v>
      </c>
      <c r="E1223" s="2" t="str">
        <f>HYPERLINK("https://ui.adsabs.harvard.edu/abs/2020arXiv200212508L/abstract","2020arXiv200212508L")</f>
        <v>2020arXiv200212508L</v>
      </c>
      <c r="G1223" s="1" t="s">
        <v>72</v>
      </c>
      <c r="H1223" s="1">
        <v>0.9961402</v>
      </c>
      <c r="I1223" s="1" t="s">
        <v>1041</v>
      </c>
    </row>
    <row r="1224">
      <c r="A1224" s="2" t="str">
        <f>HYPERLINK("https://ui.adsabs.harvard.edu/abs/2020Quant...4..374T/abstract","2020Quant...4..374T")</f>
        <v>2020Quant...4..374T</v>
      </c>
      <c r="B1224" s="2" t="str">
        <f>HYPERLINK("https://ui.adsabs.harvard.edu/abs/2019arXiv190310568T/abstract","2019arXiv190310568T")</f>
        <v>2019arXiv190310568T</v>
      </c>
      <c r="C1224" s="1" t="s">
        <v>70</v>
      </c>
      <c r="E1224" s="2" t="str">
        <f>HYPERLINK("https://ui.adsabs.harvard.edu/abs/2019arXiv190310568T/abstract","2019arXiv190310568T")</f>
        <v>2019arXiv190310568T</v>
      </c>
      <c r="G1224" s="1" t="s">
        <v>72</v>
      </c>
      <c r="H1224" s="1">
        <v>0.9961402</v>
      </c>
      <c r="I1224" s="1" t="s">
        <v>1041</v>
      </c>
    </row>
    <row r="1225">
      <c r="A1225" s="2" t="str">
        <f>HYPERLINK("https://ui.adsabs.harvard.edu/abs/2020Quant...4..375L/abstract","2020Quant...4..375L")</f>
        <v>2020Quant...4..375L</v>
      </c>
      <c r="B1225" s="2" t="str">
        <f>HYPERLINK("https://ui.adsabs.harvard.edu/abs/2020arXiv200305788L/abstract","2020arXiv200305788L")</f>
        <v>2020arXiv200305788L</v>
      </c>
      <c r="C1225" s="1" t="s">
        <v>70</v>
      </c>
      <c r="E1225" s="2" t="str">
        <f>HYPERLINK("https://ui.adsabs.harvard.edu/abs/2020arXiv200305788L/abstract","2020arXiv200305788L")</f>
        <v>2020arXiv200305788L</v>
      </c>
      <c r="G1225" s="1" t="s">
        <v>72</v>
      </c>
      <c r="H1225" s="1">
        <v>0.9961402</v>
      </c>
      <c r="I1225" s="1" t="s">
        <v>1041</v>
      </c>
    </row>
    <row r="1226">
      <c r="A1226" s="2" t="str">
        <f>HYPERLINK("https://ui.adsabs.harvard.edu/abs/2020Quant...4..376H/abstract","2020Quant...4..376H")</f>
        <v>2020Quant...4..376H</v>
      </c>
      <c r="B1226" s="2" t="str">
        <f>HYPERLINK("https://ui.adsabs.harvard.edu/abs/2020arXiv200404994H/abstract","2020arXiv200404994H")</f>
        <v>2020arXiv200404994H</v>
      </c>
      <c r="C1226" s="1" t="s">
        <v>70</v>
      </c>
      <c r="E1226" s="2" t="str">
        <f>HYPERLINK("https://ui.adsabs.harvard.edu/abs/2020arXiv200404994H/abstract","2020arXiv200404994H")</f>
        <v>2020arXiv200404994H</v>
      </c>
      <c r="G1226" s="1" t="s">
        <v>72</v>
      </c>
      <c r="H1226" s="1">
        <v>0.9961402</v>
      </c>
      <c r="I1226" s="1" t="s">
        <v>1041</v>
      </c>
    </row>
    <row r="1227">
      <c r="A1227" s="2" t="str">
        <f>HYPERLINK("https://ui.adsabs.harvard.edu/abs/2021Quant...5..380W/abstract","2021Quant...5..380W")</f>
        <v>2021Quant...5..380W</v>
      </c>
      <c r="B1227" s="2" t="str">
        <f>HYPERLINK("https://ui.adsabs.harvard.edu/abs/2020arXiv200404170W/abstract","2020arXiv200404170W")</f>
        <v>2020arXiv200404170W</v>
      </c>
      <c r="C1227" s="1" t="s">
        <v>70</v>
      </c>
      <c r="E1227" s="2" t="str">
        <f>HYPERLINK("https://ui.adsabs.harvard.edu/abs/2020arXiv200404170W/abstract","2020arXiv200404170W")</f>
        <v>2020arXiv200404170W</v>
      </c>
      <c r="G1227" s="1" t="s">
        <v>72</v>
      </c>
      <c r="H1227" s="1">
        <v>0.9961402</v>
      </c>
      <c r="I1227" s="1" t="s">
        <v>1041</v>
      </c>
    </row>
    <row r="1228">
      <c r="A1228" s="2" t="str">
        <f>HYPERLINK("https://ui.adsabs.harvard.edu/abs/2021Quant...5..382F/abstract","2021Quant...5..382F")</f>
        <v>2021Quant...5..382F</v>
      </c>
      <c r="B1228" s="2" t="str">
        <f>HYPERLINK("https://ui.adsabs.harvard.edu/abs/2020arXiv200810611F/abstract","2020arXiv200810611F")</f>
        <v>2020arXiv200810611F</v>
      </c>
      <c r="C1228" s="1" t="s">
        <v>70</v>
      </c>
      <c r="E1228" s="2" t="str">
        <f>HYPERLINK("https://ui.adsabs.harvard.edu/abs/2020arXiv200810611F/abstract","2020arXiv200810611F")</f>
        <v>2020arXiv200810611F</v>
      </c>
      <c r="G1228" s="1" t="s">
        <v>72</v>
      </c>
      <c r="H1228" s="1">
        <v>0.9961402</v>
      </c>
      <c r="I1228" s="1" t="s">
        <v>1041</v>
      </c>
    </row>
    <row r="1229">
      <c r="A1229" s="2" t="str">
        <f>HYPERLINK("https://ui.adsabs.harvard.edu/abs/2021Quant...5..383H/abstract","2021Quant...5..383H")</f>
        <v>2021Quant...5..383H</v>
      </c>
      <c r="B1229" s="2" t="str">
        <f>HYPERLINK("https://ui.adsabs.harvard.edu/abs/2020arXiv200707929H/abstract","2020arXiv200707929H")</f>
        <v>2020arXiv200707929H</v>
      </c>
      <c r="C1229" s="1" t="s">
        <v>70</v>
      </c>
      <c r="E1229" s="2" t="str">
        <f>HYPERLINK("https://ui.adsabs.harvard.edu/abs/2020arXiv200707929H/abstract","2020arXiv200707929H")</f>
        <v>2020arXiv200707929H</v>
      </c>
      <c r="G1229" s="1" t="s">
        <v>72</v>
      </c>
      <c r="H1229" s="1">
        <v>0.9961402</v>
      </c>
      <c r="I1229" s="1" t="s">
        <v>1041</v>
      </c>
    </row>
    <row r="1230">
      <c r="A1230" s="2" t="str">
        <f>HYPERLINK("https://ui.adsabs.harvard.edu/abs/2021Quant...5..384H/abstract","2021Quant...5..384H")</f>
        <v>2021Quant...5..384H</v>
      </c>
      <c r="B1230" s="2" t="str">
        <f>HYPERLINK("https://ui.adsabs.harvard.edu/abs/2020arXiv200504204H/abstract","2020arXiv200504204H")</f>
        <v>2020arXiv200504204H</v>
      </c>
      <c r="C1230" s="1" t="s">
        <v>70</v>
      </c>
      <c r="E1230" s="2" t="str">
        <f>HYPERLINK("https://ui.adsabs.harvard.edu/abs/2020arXiv200504204H/abstract","2020arXiv200504204H")</f>
        <v>2020arXiv200504204H</v>
      </c>
      <c r="G1230" s="1" t="s">
        <v>72</v>
      </c>
      <c r="H1230" s="1">
        <v>0.9961402</v>
      </c>
      <c r="I1230" s="1" t="s">
        <v>1041</v>
      </c>
    </row>
    <row r="1231">
      <c r="A1231" s="2" t="str">
        <f>HYPERLINK("https://ui.adsabs.harvard.edu/abs/2021Quant...5..386B/abstract","2021Quant...5..386B")</f>
        <v>2021Quant...5..386B</v>
      </c>
      <c r="B1231" s="2" t="str">
        <f>HYPERLINK("https://ui.adsabs.harvard.edu/abs/2020arXiv200510299B/abstract","2020arXiv200510299B")</f>
        <v>2020arXiv200510299B</v>
      </c>
      <c r="C1231" s="1" t="s">
        <v>70</v>
      </c>
      <c r="E1231" s="2" t="str">
        <f>HYPERLINK("https://ui.adsabs.harvard.edu/abs/2020arXiv200510299B/abstract","2020arXiv200510299B")</f>
        <v>2020arXiv200510299B</v>
      </c>
      <c r="G1231" s="1" t="s">
        <v>72</v>
      </c>
      <c r="H1231" s="1">
        <v>0.9961402</v>
      </c>
      <c r="I1231" s="1" t="s">
        <v>1041</v>
      </c>
    </row>
    <row r="1232">
      <c r="A1232" s="2" t="str">
        <f>HYPERLINK("https://ui.adsabs.harvard.edu/abs/2021Quant...5..388M/abstract","2021Quant...5..388M")</f>
        <v>2021Quant...5..388M</v>
      </c>
      <c r="B1232" s="2" t="str">
        <f>HYPERLINK("https://ui.adsabs.harvard.edu/abs/2020arXiv200611174M/abstract","2020arXiv200611174M")</f>
        <v>2020arXiv200611174M</v>
      </c>
      <c r="C1232" s="1" t="s">
        <v>70</v>
      </c>
      <c r="E1232" s="2" t="str">
        <f>HYPERLINK("https://ui.adsabs.harvard.edu/abs/2020arXiv200611174M/abstract","2020arXiv200611174M")</f>
        <v>2020arXiv200611174M</v>
      </c>
      <c r="G1232" s="1" t="s">
        <v>72</v>
      </c>
      <c r="H1232" s="1">
        <v>0.9961402</v>
      </c>
      <c r="I1232" s="1" t="s">
        <v>1041</v>
      </c>
    </row>
    <row r="1233">
      <c r="A1233" s="2" t="str">
        <f>HYPERLINK("https://ui.adsabs.harvard.edu/abs/2021Quant...5..389B/abstract","2021Quant...5..389B")</f>
        <v>2021Quant...5..389B</v>
      </c>
      <c r="B1233" s="2" t="str">
        <f>HYPERLINK("https://ui.adsabs.harvard.edu/abs/2020arXiv200411103B/abstract","2020arXiv200411103B")</f>
        <v>2020arXiv200411103B</v>
      </c>
      <c r="C1233" s="1" t="s">
        <v>70</v>
      </c>
      <c r="E1233" s="2" t="str">
        <f>HYPERLINK("https://ui.adsabs.harvard.edu/abs/2020arXiv200411103B/abstract","2020arXiv200411103B")</f>
        <v>2020arXiv200411103B</v>
      </c>
      <c r="G1233" s="1" t="s">
        <v>72</v>
      </c>
      <c r="H1233" s="1">
        <v>0.9961402</v>
      </c>
      <c r="I1233" s="1" t="s">
        <v>1041</v>
      </c>
    </row>
    <row r="1234">
      <c r="A1234" s="2" t="str">
        <f>HYPERLINK("https://ui.adsabs.harvard.edu/abs/2021Quant...5..393H/abstract","2021Quant...5..393H")</f>
        <v>2021Quant...5..393H</v>
      </c>
      <c r="B1234" s="2" t="str">
        <f>HYPERLINK("https://ui.adsabs.harvard.edu/abs/2020arXiv200614160H/abstract","2020arXiv200614160H")</f>
        <v>2020arXiv200614160H</v>
      </c>
      <c r="C1234" s="1" t="s">
        <v>70</v>
      </c>
      <c r="E1234" s="2" t="str">
        <f>HYPERLINK("https://ui.adsabs.harvard.edu/abs/2020arXiv200614160H/abstract","2020arXiv200614160H")</f>
        <v>2020arXiv200614160H</v>
      </c>
      <c r="G1234" s="1" t="s">
        <v>72</v>
      </c>
      <c r="H1234" s="1">
        <v>0.9961402</v>
      </c>
      <c r="I1234" s="1" t="s">
        <v>1041</v>
      </c>
    </row>
    <row r="1235">
      <c r="A1235" s="2" t="str">
        <f>HYPERLINK("https://ui.adsabs.harvard.edu/abs/2021Quant...5..394K/abstract","2021Quant...5..394K")</f>
        <v>2021Quant...5..394K</v>
      </c>
      <c r="B1235" s="2" t="str">
        <f>HYPERLINK("https://ui.adsabs.harvard.edu/abs/2020arXiv201007453K/abstract","2020arXiv201007453K")</f>
        <v>2020arXiv201007453K</v>
      </c>
      <c r="C1235" s="1" t="s">
        <v>70</v>
      </c>
      <c r="E1235" s="2" t="str">
        <f>HYPERLINK("https://ui.adsabs.harvard.edu/abs/2020arXiv201007453K/abstract","2020arXiv201007453K")</f>
        <v>2020arXiv201007453K</v>
      </c>
      <c r="G1235" s="1" t="s">
        <v>72</v>
      </c>
      <c r="H1235" s="1">
        <v>0.9961402</v>
      </c>
      <c r="I1235" s="1" t="s">
        <v>1041</v>
      </c>
    </row>
    <row r="1236">
      <c r="A1236" s="2" t="str">
        <f>HYPERLINK("https://ui.adsabs.harvard.edu/abs/2021Quant...5..396M/abstract","2021Quant...5..396M")</f>
        <v>2021Quant...5..396M</v>
      </c>
      <c r="B1236" s="2" t="str">
        <f>HYPERLINK("https://ui.adsabs.harvard.edu/abs/2020arXiv200505581M/abstract","2020arXiv200505581M")</f>
        <v>2020arXiv200505581M</v>
      </c>
      <c r="C1236" s="1" t="s">
        <v>70</v>
      </c>
      <c r="E1236" s="2" t="str">
        <f>HYPERLINK("https://ui.adsabs.harvard.edu/abs/2020arXiv200505581M/abstract","2020arXiv200505581M")</f>
        <v>2020arXiv200505581M</v>
      </c>
      <c r="G1236" s="1" t="s">
        <v>72</v>
      </c>
      <c r="H1236" s="1">
        <v>0.9961402</v>
      </c>
      <c r="I1236" s="1" t="s">
        <v>1041</v>
      </c>
    </row>
    <row r="1237">
      <c r="A1237" s="2" t="str">
        <f>HYPERLINK("https://ui.adsabs.harvard.edu/abs/2021Quant...5..397H/abstract","2021Quant...5..397H")</f>
        <v>2021Quant...5..397H</v>
      </c>
      <c r="B1237" s="2" t="str">
        <f>HYPERLINK("https://ui.adsabs.harvard.edu/abs/2020arXiv200507198H/abstract","2020arXiv200507198H")</f>
        <v>2020arXiv200507198H</v>
      </c>
      <c r="C1237" s="1" t="s">
        <v>70</v>
      </c>
      <c r="E1237" s="2" t="str">
        <f>HYPERLINK("https://ui.adsabs.harvard.edu/abs/2020arXiv200507198H/abstract","2020arXiv200507198H")</f>
        <v>2020arXiv200507198H</v>
      </c>
      <c r="G1237" s="1" t="s">
        <v>72</v>
      </c>
      <c r="H1237" s="1">
        <v>0.9961402</v>
      </c>
      <c r="I1237" s="1" t="s">
        <v>1041</v>
      </c>
    </row>
    <row r="1238">
      <c r="A1238" s="2" t="str">
        <f>HYPERLINK("https://ui.adsabs.harvard.edu/abs/2021Quant...5..399R/abstract","2021Quant...5..399R")</f>
        <v>2021Quant...5..399R</v>
      </c>
      <c r="B1238" s="2" t="str">
        <f>HYPERLINK("https://ui.adsabs.harvard.edu/abs/2020arXiv200807133R/abstract","2020arXiv200807133R")</f>
        <v>2020arXiv200807133R</v>
      </c>
      <c r="C1238" s="1" t="s">
        <v>70</v>
      </c>
      <c r="E1238" s="2" t="str">
        <f>HYPERLINK("https://ui.adsabs.harvard.edu/abs/2020arXiv200807133R/abstract","2020arXiv200807133R")</f>
        <v>2020arXiv200807133R</v>
      </c>
      <c r="G1238" s="1" t="s">
        <v>72</v>
      </c>
      <c r="H1238" s="1">
        <v>0.9961402</v>
      </c>
      <c r="I1238" s="1" t="s">
        <v>1041</v>
      </c>
    </row>
    <row r="1239">
      <c r="A1239" s="2" t="str">
        <f>HYPERLINK("https://ui.adsabs.harvard.edu/abs/2021Quant...5..400H/abstract","2021Quant...5..400H")</f>
        <v>2021Quant...5..400H</v>
      </c>
      <c r="B1239" s="2" t="str">
        <f>HYPERLINK("https://ui.adsabs.harvard.edu/abs/2020arXiv200704363H/abstract","2020arXiv200704363H")</f>
        <v>2020arXiv200704363H</v>
      </c>
      <c r="C1239" s="1" t="s">
        <v>70</v>
      </c>
      <c r="E1239" s="2" t="str">
        <f>HYPERLINK("https://ui.adsabs.harvard.edu/abs/2020arXiv200704363H/abstract","2020arXiv200704363H")</f>
        <v>2020arXiv200704363H</v>
      </c>
      <c r="G1239" s="1" t="s">
        <v>72</v>
      </c>
      <c r="H1239" s="1">
        <v>0.9961402</v>
      </c>
      <c r="I1239" s="1" t="s">
        <v>1041</v>
      </c>
    </row>
    <row r="1240">
      <c r="A1240" s="2" t="str">
        <f>HYPERLINK("https://ui.adsabs.harvard.edu/abs/2021Quant...5..402D/abstract","2021Quant...5..402D")</f>
        <v>2021Quant...5..402D</v>
      </c>
      <c r="B1240" s="2" t="str">
        <f>HYPERLINK("https://ui.adsabs.harvard.edu/abs/2020arXiv201106535D/abstract","2020arXiv201106535D")</f>
        <v>2020arXiv201106535D</v>
      </c>
      <c r="C1240" s="1" t="s">
        <v>70</v>
      </c>
      <c r="E1240" s="2" t="str">
        <f>HYPERLINK("https://ui.adsabs.harvard.edu/abs/2020arXiv201106535D/abstract","2020arXiv201106535D")</f>
        <v>2020arXiv201106535D</v>
      </c>
      <c r="G1240" s="1" t="s">
        <v>72</v>
      </c>
      <c r="H1240" s="1">
        <v>0.9961402</v>
      </c>
      <c r="I1240" s="1" t="s">
        <v>1041</v>
      </c>
    </row>
    <row r="1241">
      <c r="A1241" s="2" t="str">
        <f>HYPERLINK("https://ui.adsabs.harvard.edu/abs/2021Quant...5..404H/abstract","2021Quant...5..404H")</f>
        <v>2021Quant...5..404H</v>
      </c>
      <c r="B1241" s="2" t="str">
        <f>HYPERLINK("https://ui.adsabs.harvard.edu/abs/2020arXiv200312114H/abstract","2020arXiv200312114H")</f>
        <v>2020arXiv200312114H</v>
      </c>
      <c r="C1241" s="1" t="s">
        <v>70</v>
      </c>
      <c r="E1241" s="2" t="str">
        <f>HYPERLINK("https://ui.adsabs.harvard.edu/abs/2020arXiv200312114H/abstract","2020arXiv200312114H")</f>
        <v>2020arXiv200312114H</v>
      </c>
      <c r="G1241" s="1" t="s">
        <v>72</v>
      </c>
      <c r="H1241" s="1">
        <v>0.9961402</v>
      </c>
      <c r="I1241" s="1" t="s">
        <v>1041</v>
      </c>
    </row>
    <row r="1242">
      <c r="A1242" s="2" t="str">
        <f>HYPERLINK("https://ui.adsabs.harvard.edu/abs/2021Quant...5..406D/abstract","2021Quant...5..406D")</f>
        <v>2021Quant...5..406D</v>
      </c>
      <c r="B1242" s="2" t="str">
        <f>HYPERLINK("https://ui.adsabs.harvard.edu/abs/2020arXiv200914226D/abstract","2020arXiv200914226D")</f>
        <v>2020arXiv200914226D</v>
      </c>
      <c r="C1242" s="1" t="s">
        <v>70</v>
      </c>
      <c r="E1242" s="2" t="str">
        <f>HYPERLINK("https://ui.adsabs.harvard.edu/abs/2020arXiv200914226D/abstract","2020arXiv200914226D")</f>
        <v>2020arXiv200914226D</v>
      </c>
      <c r="G1242" s="1" t="s">
        <v>72</v>
      </c>
      <c r="H1242" s="1">
        <v>0.9961402</v>
      </c>
      <c r="I1242" s="1" t="s">
        <v>1041</v>
      </c>
    </row>
    <row r="1243">
      <c r="A1243" s="2" t="str">
        <f>HYPERLINK("https://ui.adsabs.harvard.edu/abs/2021Quant...5..407S/abstract","2021Quant...5..407S")</f>
        <v>2021Quant...5..407S</v>
      </c>
      <c r="B1243" s="2" t="str">
        <f>HYPERLINK("https://ui.adsabs.harvard.edu/abs/2020arXiv200616134S/abstract","2020arXiv200616134S")</f>
        <v>2020arXiv200616134S</v>
      </c>
      <c r="C1243" s="1" t="s">
        <v>70</v>
      </c>
      <c r="E1243" s="2" t="str">
        <f>HYPERLINK("https://ui.adsabs.harvard.edu/abs/2020arXiv200616134S/abstract","2020arXiv200616134S")</f>
        <v>2020arXiv200616134S</v>
      </c>
      <c r="G1243" s="1" t="s">
        <v>72</v>
      </c>
      <c r="H1243" s="1">
        <v>0.9961402</v>
      </c>
      <c r="I1243" s="1" t="s">
        <v>1041</v>
      </c>
    </row>
    <row r="1244">
      <c r="A1244" s="2" t="str">
        <f>HYPERLINK("https://ui.adsabs.harvard.edu/abs/2021Quant...5..409S/abstract","2021Quant...5..409S")</f>
        <v>2021Quant...5..409S</v>
      </c>
      <c r="B1244" s="2" t="str">
        <f>HYPERLINK("https://ui.adsabs.harvard.edu/abs/2020arXiv201015068S/abstract","2020arXiv201015068S")</f>
        <v>2020arXiv201015068S</v>
      </c>
      <c r="C1244" s="1" t="s">
        <v>70</v>
      </c>
      <c r="E1244" s="2" t="str">
        <f>HYPERLINK("https://ui.adsabs.harvard.edu/abs/2020arXiv201015068S/abstract","2020arXiv201015068S")</f>
        <v>2020arXiv201015068S</v>
      </c>
      <c r="G1244" s="1" t="s">
        <v>72</v>
      </c>
      <c r="H1244" s="1">
        <v>0.9961402</v>
      </c>
      <c r="I1244" s="1" t="s">
        <v>1041</v>
      </c>
    </row>
    <row r="1245">
      <c r="A1245" s="2" t="str">
        <f>HYPERLINK("https://ui.adsabs.harvard.edu/abs/2021Quant...5..412M/abstract","2021Quant...5..412M")</f>
        <v>2021Quant...5..412M</v>
      </c>
      <c r="B1245" s="2" t="str">
        <f>HYPERLINK("https://ui.adsabs.harvard.edu/abs/2020arXiv200600016M/abstract","2020arXiv200600016M")</f>
        <v>2020arXiv200600016M</v>
      </c>
      <c r="C1245" s="1" t="s">
        <v>70</v>
      </c>
      <c r="E1245" s="2" t="str">
        <f>HYPERLINK("https://ui.adsabs.harvard.edu/abs/2020arXiv200600016M/abstract","2020arXiv200600016M")</f>
        <v>2020arXiv200600016M</v>
      </c>
      <c r="G1245" s="1" t="s">
        <v>72</v>
      </c>
      <c r="H1245" s="1">
        <v>0.9961402</v>
      </c>
      <c r="I1245" s="1" t="s">
        <v>1041</v>
      </c>
    </row>
    <row r="1246">
      <c r="A1246" s="2" t="str">
        <f>HYPERLINK("https://ui.adsabs.harvard.edu/abs/2021Quant...5..413P/abstract","2021Quant...5..413P")</f>
        <v>2021Quant...5..413P</v>
      </c>
      <c r="B1246" s="2" t="str">
        <f>HYPERLINK("https://ui.adsabs.harvard.edu/abs/2020arXiv201104754P/abstract","2020arXiv201104754P")</f>
        <v>2020arXiv201104754P</v>
      </c>
      <c r="C1246" s="1" t="s">
        <v>70</v>
      </c>
      <c r="E1246" s="2" t="str">
        <f>HYPERLINK("https://ui.adsabs.harvard.edu/abs/2020arXiv201104754P/abstract","2020arXiv201104754P")</f>
        <v>2020arXiv201104754P</v>
      </c>
      <c r="G1246" s="1" t="s">
        <v>72</v>
      </c>
      <c r="H1246" s="1">
        <v>0.9961402</v>
      </c>
      <c r="I1246" s="1" t="s">
        <v>1041</v>
      </c>
    </row>
    <row r="1247">
      <c r="A1247" s="2" t="str">
        <f>HYPERLINK("https://ui.adsabs.harvard.edu/abs/2021Quant...5..415M/abstract","2021Quant...5..415M")</f>
        <v>2021Quant...5..415M</v>
      </c>
      <c r="B1247" s="2" t="str">
        <f>HYPERLINK("https://ui.adsabs.harvard.edu/abs/2020arXiv200601273M/abstract","2020arXiv200601273M")</f>
        <v>2020arXiv200601273M</v>
      </c>
      <c r="C1247" s="1" t="s">
        <v>70</v>
      </c>
      <c r="E1247" s="2" t="str">
        <f>HYPERLINK("https://ui.adsabs.harvard.edu/abs/2020arXiv200601273M/abstract","2020arXiv200601273M")</f>
        <v>2020arXiv200601273M</v>
      </c>
      <c r="G1247" s="1" t="s">
        <v>72</v>
      </c>
      <c r="H1247" s="1">
        <v>0.9961402</v>
      </c>
      <c r="I1247" s="1" t="s">
        <v>1041</v>
      </c>
    </row>
    <row r="1248">
      <c r="A1248" s="2" t="str">
        <f>HYPERLINK("https://ui.adsabs.harvard.edu/abs/2021Quant...5..417S/abstract","2021Quant...5..417S")</f>
        <v>2021Quant...5..417S</v>
      </c>
      <c r="B1248" s="2" t="str">
        <f>HYPERLINK("https://ui.adsabs.harvard.edu/abs/2020arXiv200714451S/abstract","2020arXiv200714451S")</f>
        <v>2020arXiv200714451S</v>
      </c>
      <c r="C1248" s="1" t="s">
        <v>70</v>
      </c>
      <c r="E1248" s="2" t="str">
        <f>HYPERLINK("https://ui.adsabs.harvard.edu/abs/2020arXiv200714451S/abstract","2020arXiv200714451S")</f>
        <v>2020arXiv200714451S</v>
      </c>
      <c r="G1248" s="1" t="s">
        <v>72</v>
      </c>
      <c r="H1248" s="1">
        <v>0.9961402</v>
      </c>
      <c r="I1248" s="1" t="s">
        <v>1041</v>
      </c>
    </row>
    <row r="1249">
      <c r="A1249" s="2" t="str">
        <f>HYPERLINK("https://ui.adsabs.harvard.edu/abs/2021Quant...5..419S/abstract","2021Quant...5..419S")</f>
        <v>2021Quant...5..419S</v>
      </c>
      <c r="B1249" s="2" t="str">
        <f>HYPERLINK("https://ui.adsabs.harvard.edu/abs/2020arXiv200406133S/abstract","2020arXiv200406133S")</f>
        <v>2020arXiv200406133S</v>
      </c>
      <c r="C1249" s="1" t="s">
        <v>70</v>
      </c>
      <c r="E1249" s="2" t="str">
        <f>HYPERLINK("https://ui.adsabs.harvard.edu/abs/2020arXiv200406133S/abstract","2020arXiv200406133S")</f>
        <v>2020arXiv200406133S</v>
      </c>
      <c r="G1249" s="1" t="s">
        <v>72</v>
      </c>
      <c r="H1249" s="1">
        <v>0.9961402</v>
      </c>
      <c r="I1249" s="1" t="s">
        <v>1041</v>
      </c>
    </row>
    <row r="1250">
      <c r="A1250" s="2" t="str">
        <f>HYPERLINK("https://ui.adsabs.harvard.edu/abs/2021Quant...5..420R/abstract","2021Quant...5..420R")</f>
        <v>2021Quant...5..420R</v>
      </c>
      <c r="B1250" s="2" t="str">
        <f>HYPERLINK("https://ui.adsabs.harvard.edu/abs/2020arXiv200309170R/abstract","2020arXiv200309170R")</f>
        <v>2020arXiv200309170R</v>
      </c>
      <c r="C1250" s="1" t="s">
        <v>70</v>
      </c>
      <c r="E1250" s="2" t="str">
        <f>HYPERLINK("https://ui.adsabs.harvard.edu/abs/2020arXiv200309170R/abstract","2020arXiv200309170R")</f>
        <v>2020arXiv200309170R</v>
      </c>
      <c r="G1250" s="1" t="s">
        <v>72</v>
      </c>
      <c r="H1250" s="1">
        <v>0.9961402</v>
      </c>
      <c r="I1250" s="1" t="s">
        <v>1041</v>
      </c>
    </row>
    <row r="1251">
      <c r="A1251" s="2" t="str">
        <f>HYPERLINK("https://ui.adsabs.harvard.edu/abs/2021Quant...5..421B/abstract","2021Quant...5..421B")</f>
        <v>2021Quant...5..421B</v>
      </c>
      <c r="B1251" s="2" t="str">
        <f>HYPERLINK("https://ui.adsabs.harvard.edu/abs/2020arXiv200301664B/abstract","2020arXiv200301664B")</f>
        <v>2020arXiv200301664B</v>
      </c>
      <c r="C1251" s="1" t="s">
        <v>70</v>
      </c>
      <c r="E1251" s="2" t="str">
        <f>HYPERLINK("https://ui.adsabs.harvard.edu/abs/2020arXiv200301664B/abstract","2020arXiv200301664B")</f>
        <v>2020arXiv200301664B</v>
      </c>
      <c r="G1251" s="1" t="s">
        <v>72</v>
      </c>
      <c r="H1251" s="1">
        <v>0.9961402</v>
      </c>
      <c r="I1251" s="1" t="s">
        <v>1041</v>
      </c>
    </row>
    <row r="1252">
      <c r="A1252" s="2" t="str">
        <f>HYPERLINK("https://ui.adsabs.harvard.edu/abs/2021Quant...5..422F/abstract","2021Quant...5..422F")</f>
        <v>2021Quant...5..422F</v>
      </c>
      <c r="B1252" s="2" t="str">
        <f>HYPERLINK("https://ui.adsabs.harvard.edu/abs/2020arXiv201103532F/abstract","2020arXiv201103532F")</f>
        <v>2020arXiv201103532F</v>
      </c>
      <c r="C1252" s="1" t="s">
        <v>70</v>
      </c>
      <c r="E1252" s="2" t="str">
        <f>HYPERLINK("https://ui.adsabs.harvard.edu/abs/2020arXiv201103532F/abstract","2020arXiv201103532F")</f>
        <v>2020arXiv201103532F</v>
      </c>
      <c r="G1252" s="1" t="s">
        <v>72</v>
      </c>
      <c r="H1252" s="1">
        <v>0.9961402</v>
      </c>
      <c r="I1252" s="1" t="s">
        <v>1041</v>
      </c>
    </row>
    <row r="1253">
      <c r="A1253" s="2" t="str">
        <f>HYPERLINK("https://ui.adsabs.harvard.edu/abs/2021Quant...5..424M/abstract","2021Quant...5..424M")</f>
        <v>2021Quant...5..424M</v>
      </c>
      <c r="B1253" s="2" t="str">
        <f>HYPERLINK("https://ui.adsabs.harvard.edu/abs/2020arXiv200301032M/abstract","2020arXiv200301032M")</f>
        <v>2020arXiv200301032M</v>
      </c>
      <c r="C1253" s="1" t="s">
        <v>70</v>
      </c>
      <c r="E1253" s="2" t="str">
        <f>HYPERLINK("https://ui.adsabs.harvard.edu/abs/2020arXiv200301032M/abstract","2020arXiv200301032M")</f>
        <v>2020arXiv200301032M</v>
      </c>
      <c r="G1253" s="1" t="s">
        <v>72</v>
      </c>
      <c r="H1253" s="1">
        <v>0.9961402</v>
      </c>
      <c r="I1253" s="1" t="s">
        <v>1041</v>
      </c>
    </row>
    <row r="1254">
      <c r="A1254" s="2" t="str">
        <f>HYPERLINK("https://ui.adsabs.harvard.edu/abs/2021Quant...5..426K/abstract","2021Quant...5..426K")</f>
        <v>2021Quant...5..426K</v>
      </c>
      <c r="B1254" s="2" t="str">
        <f>HYPERLINK("https://ui.adsabs.harvard.edu/abs/2020arXiv200602539K/abstract","2020arXiv200602539K")</f>
        <v>2020arXiv200602539K</v>
      </c>
      <c r="C1254" s="1" t="s">
        <v>70</v>
      </c>
      <c r="E1254" s="2" t="str">
        <f>HYPERLINK("https://ui.adsabs.harvard.edu/abs/2020arXiv200602539K/abstract","2020arXiv200602539K")</f>
        <v>2020arXiv200602539K</v>
      </c>
      <c r="G1254" s="1" t="s">
        <v>72</v>
      </c>
      <c r="H1254" s="1">
        <v>0.9961402</v>
      </c>
      <c r="I1254" s="1" t="s">
        <v>1041</v>
      </c>
    </row>
    <row r="1255">
      <c r="A1255" s="2" t="str">
        <f>HYPERLINK("https://ui.adsabs.harvard.edu/abs/2021Quant...5..432G/abstract","2021Quant...5..432G")</f>
        <v>2021Quant...5..432G</v>
      </c>
      <c r="B1255" s="2" t="str">
        <f>HYPERLINK("https://ui.adsabs.harvard.edu/abs/2020arXiv200411199G/abstract","2020arXiv200411199G")</f>
        <v>2020arXiv200411199G</v>
      </c>
      <c r="C1255" s="1" t="s">
        <v>70</v>
      </c>
      <c r="E1255" s="2" t="str">
        <f>HYPERLINK("https://ui.adsabs.harvard.edu/abs/2020arXiv200411199G/abstract","2020arXiv200411199G")</f>
        <v>2020arXiv200411199G</v>
      </c>
      <c r="G1255" s="1" t="s">
        <v>72</v>
      </c>
      <c r="H1255" s="1">
        <v>0.9961402</v>
      </c>
      <c r="I1255" s="1" t="s">
        <v>1041</v>
      </c>
    </row>
    <row r="1256">
      <c r="A1256" s="2" t="str">
        <f>HYPERLINK("https://ui.adsabs.harvard.edu/abs/2021Quant...5..434N/abstract","2021Quant...5..434N")</f>
        <v>2021Quant...5..434N</v>
      </c>
      <c r="B1256" s="2" t="str">
        <f>HYPERLINK("https://ui.adsabs.harvard.edu/abs/2020arXiv200512537N/abstract","2020arXiv200512537N")</f>
        <v>2020arXiv200512537N</v>
      </c>
      <c r="C1256" s="1" t="s">
        <v>70</v>
      </c>
      <c r="E1256" s="2" t="str">
        <f>HYPERLINK("https://ui.adsabs.harvard.edu/abs/2020arXiv200512537N/abstract","2020arXiv200512537N")</f>
        <v>2020arXiv200512537N</v>
      </c>
      <c r="G1256" s="1" t="s">
        <v>72</v>
      </c>
      <c r="H1256" s="1">
        <v>0.9961402</v>
      </c>
      <c r="I1256" s="1" t="s">
        <v>1041</v>
      </c>
    </row>
    <row r="1257">
      <c r="A1257" s="2" t="str">
        <f>HYPERLINK("https://ui.adsabs.harvard.edu/abs/2021Quant...5..436L/abstract","2021Quant...5..436L")</f>
        <v>2021Quant...5..436L</v>
      </c>
      <c r="B1257" s="2" t="str">
        <f>HYPERLINK("https://ui.adsabs.harvard.edu/abs/2020arXiv200908840L/abstract","2020arXiv200908840L")</f>
        <v>2020arXiv200908840L</v>
      </c>
      <c r="C1257" s="1" t="s">
        <v>70</v>
      </c>
      <c r="E1257" s="2" t="str">
        <f>HYPERLINK("https://ui.adsabs.harvard.edu/abs/2020arXiv200908840L/abstract","2020arXiv200908840L")</f>
        <v>2020arXiv200908840L</v>
      </c>
      <c r="G1257" s="1" t="s">
        <v>72</v>
      </c>
      <c r="H1257" s="1">
        <v>0.9961402</v>
      </c>
      <c r="I1257" s="1" t="s">
        <v>1041</v>
      </c>
    </row>
    <row r="1258">
      <c r="A1258" s="2" t="str">
        <f>HYPERLINK("https://ui.adsabs.harvard.edu/abs/2021Quant...5..438D/abstract","2021Quant...5..438D")</f>
        <v>2021Quant...5..438D</v>
      </c>
      <c r="B1258" s="2" t="str">
        <f>HYPERLINK("https://ui.adsabs.harvard.edu/abs/2020arXiv200901252D/abstract","2020arXiv200901252D")</f>
        <v>2020arXiv200901252D</v>
      </c>
      <c r="C1258" s="1" t="s">
        <v>70</v>
      </c>
      <c r="E1258" s="2" t="str">
        <f>HYPERLINK("https://ui.adsabs.harvard.edu/abs/2020arXiv200901252D/abstract","2020arXiv200901252D")</f>
        <v>2020arXiv200901252D</v>
      </c>
      <c r="G1258" s="1" t="s">
        <v>72</v>
      </c>
      <c r="H1258" s="1">
        <v>0.9961402</v>
      </c>
      <c r="I1258" s="1" t="s">
        <v>1041</v>
      </c>
    </row>
    <row r="1259">
      <c r="A1259" s="2" t="str">
        <f>HYPERLINK("https://ui.adsabs.harvard.edu/abs/2021Quant...5..439S/abstract","2021Quant...5..439S")</f>
        <v>2021Quant...5..439S</v>
      </c>
      <c r="B1259" s="2" t="str">
        <f>HYPERLINK("https://ui.adsabs.harvard.edu/abs/2021arXiv210107282S/abstract","2021arXiv210107282S")</f>
        <v>2021arXiv210107282S</v>
      </c>
      <c r="C1259" s="1" t="s">
        <v>70</v>
      </c>
      <c r="E1259" s="2" t="str">
        <f>HYPERLINK("https://ui.adsabs.harvard.edu/abs/2021arXiv210107282S/abstract","2021arXiv210107282S")</f>
        <v>2021arXiv210107282S</v>
      </c>
      <c r="G1259" s="1" t="s">
        <v>72</v>
      </c>
      <c r="H1259" s="1">
        <v>0.9961402</v>
      </c>
      <c r="I1259" s="1" t="s">
        <v>1041</v>
      </c>
    </row>
    <row r="1260">
      <c r="A1260" s="2" t="str">
        <f>HYPERLINK("https://ui.adsabs.harvard.edu/abs/2021Quant...5..442C/abstract","2021Quant...5..442C")</f>
        <v>2021Quant...5..442C</v>
      </c>
      <c r="B1260" s="2" t="str">
        <f>HYPERLINK("https://ui.adsabs.harvard.edu/abs/2020arXiv201014868C/abstract","2020arXiv201014868C")</f>
        <v>2020arXiv201014868C</v>
      </c>
      <c r="C1260" s="1" t="s">
        <v>70</v>
      </c>
      <c r="E1260" s="2" t="str">
        <f>HYPERLINK("https://ui.adsabs.harvard.edu/abs/2020arXiv201014868C/abstract","2020arXiv201014868C")</f>
        <v>2020arXiv201014868C</v>
      </c>
      <c r="G1260" s="1" t="s">
        <v>72</v>
      </c>
      <c r="H1260" s="1">
        <v>0.9961402</v>
      </c>
      <c r="I1260" s="1" t="s">
        <v>1041</v>
      </c>
    </row>
    <row r="1261">
      <c r="A1261" s="2" t="str">
        <f>HYPERLINK("https://ui.adsabs.harvard.edu/abs/2021Quant...5..443W/abstract","2021Quant...5..443W")</f>
        <v>2021Quant...5..443W</v>
      </c>
      <c r="B1261" s="2" t="str">
        <f>HYPERLINK("https://ui.adsabs.harvard.edu/abs/2020arXiv200716146W/abstract","2020arXiv200716146W")</f>
        <v>2020arXiv200716146W</v>
      </c>
      <c r="C1261" s="1" t="s">
        <v>70</v>
      </c>
      <c r="E1261" s="2" t="str">
        <f>HYPERLINK("https://ui.adsabs.harvard.edu/abs/2020arXiv200716146W/abstract","2020arXiv200716146W")</f>
        <v>2020arXiv200716146W</v>
      </c>
      <c r="G1261" s="1" t="s">
        <v>72</v>
      </c>
      <c r="H1261" s="1">
        <v>0.9961402</v>
      </c>
      <c r="I1261" s="1" t="s">
        <v>1041</v>
      </c>
    </row>
    <row r="1262">
      <c r="A1262" s="2" t="str">
        <f>HYPERLINK("https://ui.adsabs.harvard.edu/abs/2021Quant...5..444S/abstract","2021Quant...5..444S")</f>
        <v>2021Quant...5..444S</v>
      </c>
      <c r="B1262" s="2" t="str">
        <f>HYPERLINK("https://ui.adsabs.harvard.edu/abs/2020arXiv200901784S/abstract","2020arXiv200901784S")</f>
        <v>2020arXiv200901784S</v>
      </c>
      <c r="C1262" s="1" t="s">
        <v>70</v>
      </c>
      <c r="E1262" s="2" t="str">
        <f>HYPERLINK("https://ui.adsabs.harvard.edu/abs/2020arXiv200901784S/abstract","2020arXiv200901784S")</f>
        <v>2020arXiv200901784S</v>
      </c>
      <c r="G1262" s="1" t="s">
        <v>72</v>
      </c>
      <c r="H1262" s="1">
        <v>0.9961402</v>
      </c>
      <c r="I1262" s="1" t="s">
        <v>1041</v>
      </c>
    </row>
    <row r="1263">
      <c r="A1263" s="2" t="str">
        <f>HYPERLINK("https://ui.adsabs.harvard.edu/abs/2021Quant...5..446P/abstract","2021Quant...5..446P")</f>
        <v>2021Quant...5..446P</v>
      </c>
      <c r="B1263" s="2" t="str">
        <f>HYPERLINK("https://ui.adsabs.harvard.edu/abs/2020arXiv200612114P/abstract","2020arXiv200612114P")</f>
        <v>2020arXiv200612114P</v>
      </c>
      <c r="C1263" s="1" t="s">
        <v>70</v>
      </c>
      <c r="E1263" s="2" t="str">
        <f>HYPERLINK("https://ui.adsabs.harvard.edu/abs/2020arXiv200612114P/abstract","2020arXiv200612114P")</f>
        <v>2020arXiv200612114P</v>
      </c>
      <c r="G1263" s="1" t="s">
        <v>72</v>
      </c>
      <c r="H1263" s="1">
        <v>0.9961402</v>
      </c>
      <c r="I1263" s="1" t="s">
        <v>1041</v>
      </c>
    </row>
    <row r="1264">
      <c r="A1264" s="2" t="str">
        <f>HYPERLINK("https://ui.adsabs.harvard.edu/abs/2021Quant...5..449D/abstract","2021Quant...5..449D")</f>
        <v>2021Quant...5..449D</v>
      </c>
      <c r="B1264" s="2" t="str">
        <f>HYPERLINK("https://ui.adsabs.harvard.edu/abs/2020arXiv200803307D/abstract","2020arXiv200803307D")</f>
        <v>2020arXiv200803307D</v>
      </c>
      <c r="C1264" s="1" t="s">
        <v>70</v>
      </c>
      <c r="E1264" s="2" t="str">
        <f>HYPERLINK("https://ui.adsabs.harvard.edu/abs/2020arXiv200803307D/abstract","2020arXiv200803307D")</f>
        <v>2020arXiv200803307D</v>
      </c>
      <c r="G1264" s="1" t="s">
        <v>72</v>
      </c>
      <c r="H1264" s="1">
        <v>0.9961402</v>
      </c>
      <c r="I1264" s="1" t="s">
        <v>1041</v>
      </c>
    </row>
    <row r="1265">
      <c r="A1265" s="2" t="str">
        <f>HYPERLINK("https://ui.adsabs.harvard.edu/abs/2021Quant...5..450S/abstract","2021Quant...5..450S")</f>
        <v>2021Quant...5..450S</v>
      </c>
      <c r="B1265" s="2" t="str">
        <f>HYPERLINK("https://ui.adsabs.harvard.edu/abs/2020arXiv201104078S/abstract","2020arXiv201104078S")</f>
        <v>2020arXiv201104078S</v>
      </c>
      <c r="C1265" s="1" t="s">
        <v>70</v>
      </c>
      <c r="E1265" s="2" t="str">
        <f>HYPERLINK("https://ui.adsabs.harvard.edu/abs/2020arXiv201104078S/abstract","2020arXiv201104078S")</f>
        <v>2020arXiv201104078S</v>
      </c>
      <c r="G1265" s="1" t="s">
        <v>72</v>
      </c>
      <c r="H1265" s="1">
        <v>0.9961402</v>
      </c>
      <c r="I1265" s="1" t="s">
        <v>1041</v>
      </c>
    </row>
    <row r="1266">
      <c r="A1266" s="2" t="str">
        <f>HYPERLINK("https://ui.adsabs.harvard.edu/abs/2021Quant...5..451S/abstract","2021Quant...5..451S")</f>
        <v>2021Quant...5..451S</v>
      </c>
      <c r="B1266" s="2" t="str">
        <f>HYPERLINK("https://ui.adsabs.harvard.edu/abs/2020arXiv200911324S/abstract","2020arXiv200911324S")</f>
        <v>2020arXiv200911324S</v>
      </c>
      <c r="C1266" s="1" t="s">
        <v>70</v>
      </c>
      <c r="E1266" s="2" t="str">
        <f>HYPERLINK("https://ui.adsabs.harvard.edu/abs/2020arXiv200911324S/abstract","2020arXiv200911324S")</f>
        <v>2020arXiv200911324S</v>
      </c>
      <c r="G1266" s="1" t="s">
        <v>72</v>
      </c>
      <c r="H1266" s="1">
        <v>0.9961402</v>
      </c>
      <c r="I1266" s="1" t="s">
        <v>1041</v>
      </c>
    </row>
    <row r="1267">
      <c r="A1267" s="2" t="str">
        <f>HYPERLINK("https://ui.adsabs.harvard.edu/abs/2021Quant...5..452S/abstract","2021Quant...5..452S")</f>
        <v>2021Quant...5..452S</v>
      </c>
      <c r="B1267" s="2" t="str">
        <f>HYPERLINK("https://ui.adsabs.harvard.edu/abs/2020arXiv200806670S/abstract","2020arXiv200806670S")</f>
        <v>2020arXiv200806670S</v>
      </c>
      <c r="C1267" s="1" t="s">
        <v>70</v>
      </c>
      <c r="E1267" s="2" t="str">
        <f>HYPERLINK("https://ui.adsabs.harvard.edu/abs/2020arXiv200806670S/abstract","2020arXiv200806670S")</f>
        <v>2020arXiv200806670S</v>
      </c>
      <c r="G1267" s="1" t="s">
        <v>72</v>
      </c>
      <c r="H1267" s="1">
        <v>0.9961402</v>
      </c>
      <c r="I1267" s="1" t="s">
        <v>1041</v>
      </c>
    </row>
    <row r="1268">
      <c r="A1268" s="2" t="str">
        <f>HYPERLINK("https://ui.adsabs.harvard.edu/abs/2021Quant...5..454T/abstract","2021Quant...5..454T")</f>
        <v>2021Quant...5..454T</v>
      </c>
      <c r="B1268" s="2" t="str">
        <f>HYPERLINK("https://ui.adsabs.harvard.edu/abs/2020arXiv200701774T/abstract","2020arXiv200701774T")</f>
        <v>2020arXiv200701774T</v>
      </c>
      <c r="C1268" s="1" t="s">
        <v>70</v>
      </c>
      <c r="E1268" s="2" t="str">
        <f>HYPERLINK("https://ui.adsabs.harvard.edu/abs/2020arXiv200701774T/abstract","2020arXiv200701774T")</f>
        <v>2020arXiv200701774T</v>
      </c>
      <c r="G1268" s="1" t="s">
        <v>72</v>
      </c>
      <c r="H1268" s="1">
        <v>0.9961402</v>
      </c>
      <c r="I1268" s="1" t="s">
        <v>1041</v>
      </c>
    </row>
    <row r="1269">
      <c r="A1269" s="2" t="str">
        <f>HYPERLINK("https://ui.adsabs.harvard.edu/abs/2021Quant...5..455D/abstract","2021Quant...5..455D")</f>
        <v>2021Quant...5..455D</v>
      </c>
      <c r="B1269" s="2" t="str">
        <f>HYPERLINK("https://ui.adsabs.harvard.edu/abs/2020arXiv201110107D/abstract","2020arXiv201110107D")</f>
        <v>2020arXiv201110107D</v>
      </c>
      <c r="C1269" s="1" t="s">
        <v>70</v>
      </c>
      <c r="E1269" s="2" t="str">
        <f>HYPERLINK("https://ui.adsabs.harvard.edu/abs/2020arXiv201110107D/abstract","2020arXiv201110107D")</f>
        <v>2020arXiv201110107D</v>
      </c>
      <c r="G1269" s="1" t="s">
        <v>72</v>
      </c>
      <c r="H1269" s="1">
        <v>0.9961402</v>
      </c>
      <c r="I1269" s="1" t="s">
        <v>1041</v>
      </c>
    </row>
    <row r="1270">
      <c r="A1270" s="2" t="str">
        <f>HYPERLINK("https://ui.adsabs.harvard.edu/abs/2021Quant...5..456K/abstract","2021Quant...5..456K")</f>
        <v>2021Quant...5..456K</v>
      </c>
      <c r="B1270" s="2" t="str">
        <f>HYPERLINK("https://ui.adsabs.harvard.edu/abs/2020arXiv201110027K/abstract","2020arXiv201110027K")</f>
        <v>2020arXiv201110027K</v>
      </c>
      <c r="C1270" s="1" t="s">
        <v>70</v>
      </c>
      <c r="E1270" s="2" t="str">
        <f>HYPERLINK("https://ui.adsabs.harvard.edu/abs/2020arXiv201110027K/abstract","2020arXiv201110027K")</f>
        <v>2020arXiv201110027K</v>
      </c>
      <c r="G1270" s="1" t="s">
        <v>72</v>
      </c>
      <c r="H1270" s="1">
        <v>0.9961402</v>
      </c>
      <c r="I1270" s="1" t="s">
        <v>1041</v>
      </c>
    </row>
    <row r="1271">
      <c r="A1271" s="2" t="str">
        <f>HYPERLINK("https://ui.adsabs.harvard.edu/abs/2021Quant...5..457G/abstract","2021Quant...5..457G")</f>
        <v>2021Quant...5..457G</v>
      </c>
      <c r="B1271" s="2" t="str">
        <f>HYPERLINK("https://ui.adsabs.harvard.edu/abs/2020arXiv200205088G/abstract","2020arXiv200205088G")</f>
        <v>2020arXiv200205088G</v>
      </c>
      <c r="C1271" s="1" t="s">
        <v>70</v>
      </c>
      <c r="E1271" s="2" t="str">
        <f>HYPERLINK("https://ui.adsabs.harvard.edu/abs/2020arXiv200205088G/abstract","2020arXiv200205088G")</f>
        <v>2020arXiv200205088G</v>
      </c>
      <c r="G1271" s="1" t="s">
        <v>72</v>
      </c>
      <c r="H1271" s="1">
        <v>0.9961402</v>
      </c>
      <c r="I1271" s="1" t="s">
        <v>1041</v>
      </c>
    </row>
    <row r="1272">
      <c r="A1272" s="2" t="str">
        <f>HYPERLINK("https://ui.adsabs.harvard.edu/abs/2021Quant...5..459A/abstract","2021Quant...5..459A")</f>
        <v>2021Quant...5..459A</v>
      </c>
      <c r="B1272" s="2" t="str">
        <f>HYPERLINK("https://ui.adsabs.harvard.edu/abs/2020arXiv201213105A/abstract","2020arXiv201213105A")</f>
        <v>2020arXiv201213105A</v>
      </c>
      <c r="C1272" s="1" t="s">
        <v>70</v>
      </c>
      <c r="E1272" s="2" t="str">
        <f>HYPERLINK("https://ui.adsabs.harvard.edu/abs/2020arXiv201213105A/abstract","2020arXiv201213105A")</f>
        <v>2020arXiv201213105A</v>
      </c>
      <c r="G1272" s="1" t="s">
        <v>72</v>
      </c>
      <c r="H1272" s="1">
        <v>0.9961402</v>
      </c>
      <c r="I1272" s="1" t="s">
        <v>1041</v>
      </c>
    </row>
    <row r="1273">
      <c r="A1273" s="2" t="str">
        <f>HYPERLINK("https://ui.adsabs.harvard.edu/abs/2021Quant...5..460Y/abstract","2021Quant...5..460Y")</f>
        <v>2021Quant...5..460Y</v>
      </c>
      <c r="B1273" s="2" t="str">
        <f>HYPERLINK("https://ui.adsabs.harvard.edu/abs/2020arXiv200812771Y/abstract","2020arXiv200812771Y")</f>
        <v>2020arXiv200812771Y</v>
      </c>
      <c r="C1273" s="1" t="s">
        <v>70</v>
      </c>
      <c r="E1273" s="2" t="str">
        <f>HYPERLINK("https://ui.adsabs.harvard.edu/abs/2020arXiv200812771Y/abstract","2020arXiv200812771Y")</f>
        <v>2020arXiv200812771Y</v>
      </c>
      <c r="G1273" s="1" t="s">
        <v>72</v>
      </c>
      <c r="H1273" s="1">
        <v>0.9961402</v>
      </c>
      <c r="I1273" s="1" t="s">
        <v>1041</v>
      </c>
    </row>
    <row r="1274">
      <c r="A1274" s="2" t="str">
        <f>HYPERLINK("https://ui.adsabs.harvard.edu/abs/2021Quant...5..461F/abstract","2021Quant...5..461F")</f>
        <v>2021Quant...5..461F</v>
      </c>
      <c r="B1274" s="2" t="str">
        <f>HYPERLINK("https://ui.adsabs.harvard.edu/abs/2020arXiv201203751F/abstract","2020arXiv201203751F")</f>
        <v>2020arXiv201203751F</v>
      </c>
      <c r="C1274" s="1" t="s">
        <v>70</v>
      </c>
      <c r="E1274" s="2" t="str">
        <f>HYPERLINK("https://ui.adsabs.harvard.edu/abs/2020arXiv201203751F/abstract","2020arXiv201203751F")</f>
        <v>2020arXiv201203751F</v>
      </c>
      <c r="G1274" s="1" t="s">
        <v>72</v>
      </c>
      <c r="H1274" s="1">
        <v>0.9961402</v>
      </c>
      <c r="I1274" s="1" t="s">
        <v>1041</v>
      </c>
    </row>
    <row r="1275">
      <c r="A1275" s="2" t="str">
        <f>HYPERLINK("https://ui.adsabs.harvard.edu/abs/2021Quant...5..462A/abstract","2021Quant...5..462A")</f>
        <v>2021Quant...5..462A</v>
      </c>
      <c r="B1275" s="2" t="str">
        <f>HYPERLINK("https://ui.adsabs.harvard.edu/abs/2020arXiv201111963A/abstract","2020arXiv201111963A")</f>
        <v>2020arXiv201111963A</v>
      </c>
      <c r="C1275" s="1" t="s">
        <v>70</v>
      </c>
      <c r="E1275" s="2" t="str">
        <f>HYPERLINK("https://ui.adsabs.harvard.edu/abs/2020arXiv201111963A/abstract","2020arXiv201111963A")</f>
        <v>2020arXiv201111963A</v>
      </c>
      <c r="G1275" s="1" t="s">
        <v>72</v>
      </c>
      <c r="H1275" s="1">
        <v>0.9961402</v>
      </c>
      <c r="I1275" s="1" t="s">
        <v>1041</v>
      </c>
    </row>
    <row r="1276">
      <c r="A1276" s="2" t="str">
        <f>HYPERLINK("https://ui.adsabs.harvard.edu/abs/2021Quant...5..463C/abstract","2021Quant...5..463C")</f>
        <v>2021Quant...5..463C</v>
      </c>
      <c r="B1276" s="2" t="str">
        <f>HYPERLINK("https://ui.adsabs.harvard.edu/abs/2020arXiv201203819C/abstract","2020arXiv201203819C")</f>
        <v>2020arXiv201203819C</v>
      </c>
      <c r="C1276" s="1" t="s">
        <v>70</v>
      </c>
      <c r="E1276" s="2" t="str">
        <f>HYPERLINK("https://ui.adsabs.harvard.edu/abs/2020arXiv201203819C/abstract","2020arXiv201203819C")</f>
        <v>2020arXiv201203819C</v>
      </c>
      <c r="G1276" s="1" t="s">
        <v>72</v>
      </c>
      <c r="H1276" s="1">
        <v>0.9961402</v>
      </c>
      <c r="I1276" s="1" t="s">
        <v>1041</v>
      </c>
    </row>
    <row r="1277">
      <c r="A1277" s="2" t="str">
        <f>HYPERLINK("https://ui.adsabs.harvard.edu/abs/2021Quant...5..466Z/abstract","2021Quant...5..466Z")</f>
        <v>2021Quant...5..466Z</v>
      </c>
      <c r="B1277" s="2" t="str">
        <f>HYPERLINK("https://ui.adsabs.harvard.edu/abs/2021arXiv210201828Z/abstract","2021arXiv210201828Z")</f>
        <v>2021arXiv210201828Z</v>
      </c>
      <c r="C1277" s="1" t="s">
        <v>70</v>
      </c>
      <c r="E1277" s="2" t="str">
        <f>HYPERLINK("https://ui.adsabs.harvard.edu/abs/2021arXiv210201828Z/abstract","2021arXiv210201828Z")</f>
        <v>2021arXiv210201828Z</v>
      </c>
      <c r="G1277" s="1" t="s">
        <v>72</v>
      </c>
      <c r="H1277" s="1">
        <v>0.9961402</v>
      </c>
      <c r="I1277" s="1" t="s">
        <v>1041</v>
      </c>
    </row>
    <row r="1278">
      <c r="A1278" s="2" t="str">
        <f>HYPERLINK("https://ui.adsabs.harvard.edu/abs/2021Quant...5..469V/abstract","2021Quant...5..469V")</f>
        <v>2021Quant...5..469V</v>
      </c>
      <c r="B1278" s="2" t="str">
        <f>HYPERLINK("https://ui.adsabs.harvard.edu/abs/2020arXiv200711629V/abstract","2020arXiv200711629V")</f>
        <v>2020arXiv200711629V</v>
      </c>
      <c r="C1278" s="1" t="s">
        <v>70</v>
      </c>
      <c r="E1278" s="2" t="str">
        <f>HYPERLINK("https://ui.adsabs.harvard.edu/abs/2020arXiv200711629V/abstract","2020arXiv200711629V")</f>
        <v>2020arXiv200711629V</v>
      </c>
      <c r="G1278" s="1" t="s">
        <v>72</v>
      </c>
      <c r="H1278" s="1">
        <v>0.9961402</v>
      </c>
      <c r="I1278" s="1" t="s">
        <v>1041</v>
      </c>
    </row>
    <row r="1279">
      <c r="A1279" s="2" t="str">
        <f>HYPERLINK("https://ui.adsabs.harvard.edu/abs/2021Quant...5..470B/abstract","2021Quant...5..470B")</f>
        <v>2021Quant...5..470B</v>
      </c>
      <c r="B1279" s="2" t="str">
        <f>HYPERLINK("https://ui.adsabs.harvard.edu/abs/2020arXiv201215769B/abstract","2020arXiv201215769B")</f>
        <v>2020arXiv201215769B</v>
      </c>
      <c r="C1279" s="1" t="s">
        <v>70</v>
      </c>
      <c r="E1279" s="2" t="str">
        <f>HYPERLINK("https://ui.adsabs.harvard.edu/abs/2020arXiv201215769B/abstract","2020arXiv201215769B")</f>
        <v>2020arXiv201215769B</v>
      </c>
      <c r="G1279" s="1" t="s">
        <v>72</v>
      </c>
      <c r="H1279" s="1">
        <v>0.9961402</v>
      </c>
      <c r="I1279" s="1" t="s">
        <v>1041</v>
      </c>
    </row>
    <row r="1280">
      <c r="A1280" s="2" t="str">
        <f>HYPERLINK("https://ui.adsabs.harvard.edu/abs/2021Quant...5..473P/abstract","2021Quant...5..473P")</f>
        <v>2021Quant...5..473P</v>
      </c>
      <c r="B1280" s="2" t="str">
        <f>HYPERLINK("https://ui.adsabs.harvard.edu/abs/2021arXiv210108526P/abstract","2021arXiv210108526P")</f>
        <v>2021arXiv210108526P</v>
      </c>
      <c r="C1280" s="1" t="s">
        <v>70</v>
      </c>
      <c r="E1280" s="2" t="str">
        <f>HYPERLINK("https://ui.adsabs.harvard.edu/abs/2021arXiv210108526P/abstract","2021arXiv210108526P")</f>
        <v>2021arXiv210108526P</v>
      </c>
      <c r="G1280" s="1" t="s">
        <v>72</v>
      </c>
      <c r="H1280" s="1">
        <v>0.9961402</v>
      </c>
      <c r="I1280" s="1" t="s">
        <v>1041</v>
      </c>
    </row>
    <row r="1281">
      <c r="A1281" s="2" t="str">
        <f>HYPERLINK("https://ui.adsabs.harvard.edu/abs/2021Quant...5..479E/abstract","2021Quant...5..479E")</f>
        <v>2021Quant...5..479E</v>
      </c>
      <c r="B1281" s="2" t="str">
        <f>HYPERLINK("https://ui.adsabs.harvard.edu/abs/2020arXiv200910095E/abstract","2020arXiv200910095E")</f>
        <v>2020arXiv200910095E</v>
      </c>
      <c r="C1281" s="1" t="s">
        <v>70</v>
      </c>
      <c r="E1281" s="2" t="str">
        <f>HYPERLINK("https://ui.adsabs.harvard.edu/abs/2020arXiv200910095E/abstract","2020arXiv200910095E")</f>
        <v>2020arXiv200910095E</v>
      </c>
      <c r="G1281" s="1" t="s">
        <v>72</v>
      </c>
      <c r="H1281" s="1">
        <v>0.9961402</v>
      </c>
      <c r="I1281" s="1" t="s">
        <v>1041</v>
      </c>
    </row>
    <row r="1282">
      <c r="A1282" s="2" t="str">
        <f>HYPERLINK("https://ui.adsabs.harvard.edu/abs/2021Quant...5..485E/abstract","2021Quant...5..485E")</f>
        <v>2021Quant...5..485E</v>
      </c>
      <c r="B1282" s="2" t="str">
        <f>HYPERLINK("https://ui.adsabs.harvard.edu/abs/2020arXiv201200587E/abstract","2020arXiv201200587E")</f>
        <v>2020arXiv201200587E</v>
      </c>
      <c r="C1282" s="1" t="s">
        <v>70</v>
      </c>
      <c r="E1282" s="2" t="str">
        <f>HYPERLINK("https://ui.adsabs.harvard.edu/abs/2020arXiv201200587E/abstract","2020arXiv201200587E")</f>
        <v>2020arXiv201200587E</v>
      </c>
      <c r="G1282" s="1" t="s">
        <v>72</v>
      </c>
      <c r="H1282" s="1">
        <v>0.9961402</v>
      </c>
      <c r="I1282" s="1" t="s">
        <v>1041</v>
      </c>
    </row>
    <row r="1283">
      <c r="A1283" s="2" t="str">
        <f>HYPERLINK("https://ui.adsabs.harvard.edu/abs/2021Quant...5..489G/abstract","2021Quant...5..489G")</f>
        <v>2021Quant...5..489G</v>
      </c>
      <c r="B1283" s="2" t="str">
        <f>HYPERLINK("https://ui.adsabs.harvard.edu/abs/2021arXiv210312939G/abstract","2021arXiv210312939G")</f>
        <v>2021arXiv210312939G</v>
      </c>
      <c r="C1283" s="1" t="s">
        <v>70</v>
      </c>
      <c r="E1283" s="2" t="str">
        <f>HYPERLINK("https://ui.adsabs.harvard.edu/abs/2021arXiv210312939G/abstract","2021arXiv210312939G")</f>
        <v>2021arXiv210312939G</v>
      </c>
      <c r="G1283" s="1" t="s">
        <v>72</v>
      </c>
      <c r="H1283" s="1">
        <v>0.9961402</v>
      </c>
      <c r="I1283" s="1" t="s">
        <v>1041</v>
      </c>
    </row>
    <row r="1284">
      <c r="A1284" s="2" t="str">
        <f>HYPERLINK("https://ui.adsabs.harvard.edu/abs/2021Quant...5..492S/abstract","2021Quant...5..492S")</f>
        <v>2021Quant...5..492S</v>
      </c>
      <c r="B1284" s="2" t="str">
        <f>HYPERLINK("https://ui.adsabs.harvard.edu/abs/2020arXiv200810914S/abstract","2020arXiv200810914S")</f>
        <v>2020arXiv200810914S</v>
      </c>
      <c r="C1284" s="1" t="s">
        <v>70</v>
      </c>
      <c r="E1284" s="2" t="str">
        <f>HYPERLINK("https://ui.adsabs.harvard.edu/abs/2020arXiv200810914S/abstract","2020arXiv200810914S")</f>
        <v>2020arXiv200810914S</v>
      </c>
      <c r="G1284" s="1" t="s">
        <v>72</v>
      </c>
      <c r="H1284" s="1">
        <v>0.9961402</v>
      </c>
      <c r="I1284" s="1" t="s">
        <v>1041</v>
      </c>
    </row>
    <row r="1285">
      <c r="A1285" s="2" t="str">
        <f>HYPERLINK("https://ui.adsabs.harvard.edu/abs/2021Quant...5..496C/abstract","2021Quant...5..496C")</f>
        <v>2021Quant...5..496C</v>
      </c>
      <c r="B1285" s="2" t="str">
        <f>HYPERLINK("https://ui.adsabs.harvard.edu/abs/2021arXiv210204579C/abstract","2021arXiv210204579C")</f>
        <v>2021arXiv210204579C</v>
      </c>
      <c r="C1285" s="1" t="s">
        <v>70</v>
      </c>
      <c r="E1285" s="2" t="str">
        <f>HYPERLINK("https://ui.adsabs.harvard.edu/abs/2021arXiv210204579C/abstract","2021arXiv210204579C")</f>
        <v>2021arXiv210204579C</v>
      </c>
      <c r="G1285" s="1" t="s">
        <v>72</v>
      </c>
      <c r="H1285" s="1">
        <v>0.9961402</v>
      </c>
      <c r="I1285" s="1" t="s">
        <v>1041</v>
      </c>
    </row>
    <row r="1286">
      <c r="A1286" s="2" t="str">
        <f>HYPERLINK("https://ui.adsabs.harvard.edu/abs/2021Quant...5..497G/abstract","2021Quant...5..497G")</f>
        <v>2021Quant...5..497G</v>
      </c>
      <c r="B1286" s="2" t="str">
        <f>HYPERLINK("https://ui.adsabs.harvard.edu/abs/2021arXiv210302202G/abstract","2021arXiv210302202G")</f>
        <v>2021arXiv210302202G</v>
      </c>
      <c r="C1286" s="1" t="s">
        <v>70</v>
      </c>
      <c r="E1286" s="2" t="str">
        <f>HYPERLINK("https://ui.adsabs.harvard.edu/abs/2021arXiv210302202G/abstract","2021arXiv210302202G")</f>
        <v>2021arXiv210302202G</v>
      </c>
      <c r="G1286" s="1" t="s">
        <v>72</v>
      </c>
      <c r="H1286" s="1">
        <v>0.9961402</v>
      </c>
      <c r="I1286" s="1" t="s">
        <v>1041</v>
      </c>
    </row>
    <row r="1287">
      <c r="A1287" s="2" t="str">
        <f>HYPERLINK("https://ui.adsabs.harvard.edu/abs/2021Quant...5..500M/abstract","2021Quant...5..500M")</f>
        <v>2021Quant...5..500M</v>
      </c>
      <c r="B1287" s="2" t="str">
        <f>HYPERLINK("https://ui.adsabs.harvard.edu/abs/2020arXiv201200350M/abstract","2020arXiv201200350M")</f>
        <v>2020arXiv201200350M</v>
      </c>
      <c r="C1287" s="1" t="s">
        <v>70</v>
      </c>
      <c r="E1287" s="2" t="str">
        <f>HYPERLINK("https://ui.adsabs.harvard.edu/abs/2020arXiv201200350M/abstract","2020arXiv201200350M")</f>
        <v>2020arXiv201200350M</v>
      </c>
      <c r="G1287" s="1" t="s">
        <v>72</v>
      </c>
      <c r="H1287" s="1">
        <v>0.9961402</v>
      </c>
      <c r="I1287" s="1" t="s">
        <v>1041</v>
      </c>
    </row>
    <row r="1288">
      <c r="A1288" s="2" t="str">
        <f>HYPERLINK("https://ui.adsabs.harvard.edu/abs/2021Quant...5..501C/abstract","2021Quant...5..501C")</f>
        <v>2021Quant...5..501C</v>
      </c>
      <c r="B1288" s="2" t="str">
        <f>HYPERLINK("https://ui.adsabs.harvard.edu/abs/2020arXiv201101687C/abstract","2020arXiv201101687C")</f>
        <v>2020arXiv201101687C</v>
      </c>
      <c r="C1288" s="1" t="s">
        <v>70</v>
      </c>
      <c r="E1288" s="2" t="str">
        <f>HYPERLINK("https://ui.adsabs.harvard.edu/abs/2020arXiv201101687C/abstract","2020arXiv201101687C")</f>
        <v>2020arXiv201101687C</v>
      </c>
      <c r="G1288" s="1" t="s">
        <v>72</v>
      </c>
      <c r="H1288" s="1">
        <v>0.9961402</v>
      </c>
      <c r="I1288" s="1" t="s">
        <v>1041</v>
      </c>
    </row>
    <row r="1289">
      <c r="A1289" s="2" t="str">
        <f>HYPERLINK("https://ui.adsabs.harvard.edu/abs/2021Quant...5..502Z/abstract","2021Quant...5..502Z")</f>
        <v>2021Quant...5..502Z</v>
      </c>
      <c r="B1289" s="2" t="str">
        <f>HYPERLINK("https://ui.adsabs.harvard.edu/abs/2020arXiv201209469Z/abstract","2020arXiv201209469Z")</f>
        <v>2020arXiv201209469Z</v>
      </c>
      <c r="C1289" s="1" t="s">
        <v>70</v>
      </c>
      <c r="E1289" s="2" t="str">
        <f>HYPERLINK("https://ui.adsabs.harvard.edu/abs/2020arXiv201209469Z/abstract","2020arXiv201209469Z")</f>
        <v>2020arXiv201209469Z</v>
      </c>
      <c r="G1289" s="1" t="s">
        <v>72</v>
      </c>
      <c r="H1289" s="1">
        <v>0.9961402</v>
      </c>
      <c r="I1289" s="1" t="s">
        <v>1041</v>
      </c>
    </row>
    <row r="1290">
      <c r="A1290" s="2" t="str">
        <f>HYPERLINK("https://ui.adsabs.harvard.edu/abs/2021Quant...5..503V/abstract","2021Quant...5..503V")</f>
        <v>2021Quant...5..503V</v>
      </c>
      <c r="B1290" s="2" t="str">
        <f>HYPERLINK("https://ui.adsabs.harvard.edu/abs/2020arXiv201108120V/abstract","2020arXiv201108120V")</f>
        <v>2020arXiv201108120V</v>
      </c>
      <c r="C1290" s="1" t="s">
        <v>70</v>
      </c>
      <c r="E1290" s="2" t="str">
        <f>HYPERLINK("https://ui.adsabs.harvard.edu/abs/2020arXiv201108120V/abstract","2020arXiv201108120V")</f>
        <v>2020arXiv201108120V</v>
      </c>
      <c r="G1290" s="1" t="s">
        <v>72</v>
      </c>
      <c r="H1290" s="1">
        <v>0.9961402</v>
      </c>
      <c r="I1290" s="1" t="s">
        <v>1041</v>
      </c>
    </row>
    <row r="1291">
      <c r="A1291" s="2" t="str">
        <f>HYPERLINK("https://ui.adsabs.harvard.edu/abs/2021Quant...5..504C/abstract","2021Quant...5..504C")</f>
        <v>2021Quant...5..504C</v>
      </c>
      <c r="B1291" s="2" t="str">
        <f>HYPERLINK("https://ui.adsabs.harvard.edu/abs/2020arXiv200800494C/abstract","2020arXiv200800494C")</f>
        <v>2020arXiv200800494C</v>
      </c>
      <c r="C1291" s="1" t="s">
        <v>70</v>
      </c>
      <c r="E1291" s="2" t="str">
        <f>HYPERLINK("https://ui.adsabs.harvard.edu/abs/2020arXiv200800494C/abstract","2020arXiv200800494C")</f>
        <v>2020arXiv200800494C</v>
      </c>
      <c r="G1291" s="1" t="s">
        <v>72</v>
      </c>
      <c r="H1291" s="1">
        <v>0.9961402</v>
      </c>
      <c r="I1291" s="1" t="s">
        <v>1041</v>
      </c>
    </row>
    <row r="1292">
      <c r="A1292" s="2" t="str">
        <f>HYPERLINK("https://ui.adsabs.harvard.edu/abs/2021Quant...5..505C/abstract","2021Quant...5..505C")</f>
        <v>2021Quant...5..505C</v>
      </c>
      <c r="B1292" s="2" t="str">
        <f>HYPERLINK("https://ui.adsabs.harvard.edu/abs/2020arXiv201215026C/abstract","2020arXiv201215026C")</f>
        <v>2020arXiv201215026C</v>
      </c>
      <c r="C1292" s="1" t="s">
        <v>70</v>
      </c>
      <c r="E1292" s="2" t="str">
        <f>HYPERLINK("https://ui.adsabs.harvard.edu/abs/2020arXiv201215026C/abstract","2020arXiv201215026C")</f>
        <v>2020arXiv201215026C</v>
      </c>
      <c r="G1292" s="1" t="s">
        <v>72</v>
      </c>
      <c r="H1292" s="1">
        <v>0.9961402</v>
      </c>
      <c r="I1292" s="1" t="s">
        <v>1041</v>
      </c>
    </row>
    <row r="1293">
      <c r="A1293" s="2" t="str">
        <f>HYPERLINK("https://ui.adsabs.harvard.edu/abs/2021Quant...5..506K/abstract","2021Quant...5..506K")</f>
        <v>2021Quant...5..506K</v>
      </c>
      <c r="B1293" s="2" t="str">
        <f>HYPERLINK("https://ui.adsabs.harvard.edu/abs/2020arXiv201106470K/abstract","2020arXiv201106470K")</f>
        <v>2020arXiv201106470K</v>
      </c>
      <c r="C1293" s="1" t="s">
        <v>70</v>
      </c>
      <c r="E1293" s="2" t="str">
        <f>HYPERLINK("https://ui.adsabs.harvard.edu/abs/2020arXiv201106470K/abstract","2020arXiv201106470K")</f>
        <v>2020arXiv201106470K</v>
      </c>
      <c r="G1293" s="1" t="s">
        <v>72</v>
      </c>
      <c r="H1293" s="1">
        <v>0.9961402</v>
      </c>
      <c r="I1293" s="1" t="s">
        <v>1041</v>
      </c>
    </row>
    <row r="1294">
      <c r="A1294" s="2" t="str">
        <f>HYPERLINK("https://ui.adsabs.harvard.edu/abs/2021Quant...5..507P/abstract","2021Quant...5..507P")</f>
        <v>2021Quant...5..507P</v>
      </c>
      <c r="B1294" s="2" t="str">
        <f>HYPERLINK("https://ui.adsabs.harvard.edu/abs/2020arXiv200907045P/abstract","2020arXiv200907045P")</f>
        <v>2020arXiv200907045P</v>
      </c>
      <c r="C1294" s="1" t="s">
        <v>70</v>
      </c>
      <c r="E1294" s="2" t="str">
        <f>HYPERLINK("https://ui.adsabs.harvard.edu/abs/2020arXiv200907045P/abstract","2020arXiv200907045P")</f>
        <v>2020arXiv200907045P</v>
      </c>
      <c r="G1294" s="1" t="s">
        <v>72</v>
      </c>
      <c r="H1294" s="1">
        <v>0.9961402</v>
      </c>
      <c r="I1294" s="1" t="s">
        <v>1041</v>
      </c>
    </row>
    <row r="1295">
      <c r="A1295" s="2" t="str">
        <f>HYPERLINK("https://ui.adsabs.harvard.edu/abs/2021Quant...5..510Z/abstract","2021Quant...5..510Z")</f>
        <v>2021Quant...5..510Z</v>
      </c>
      <c r="E1295" s="2" t="str">
        <f>HYPERLINK("https://ui.adsabs.harvard.edu/abs/2020arXiv200609418Z/abstract","2020arXiv200609418Z")</f>
        <v>2020arXiv200609418Z</v>
      </c>
      <c r="G1295" s="1" t="s">
        <v>72</v>
      </c>
      <c r="H1295" s="1">
        <v>0.9961402</v>
      </c>
      <c r="I1295" s="1" t="s">
        <v>1041</v>
      </c>
    </row>
    <row r="1296">
      <c r="A1296" s="2" t="str">
        <f>HYPERLINK("https://ui.adsabs.harvard.edu/abs/2021Quant...5..512B/abstract","2021Quant...5..512B")</f>
        <v>2021Quant...5..512B</v>
      </c>
      <c r="B1296" s="2" t="str">
        <f>HYPERLINK("https://ui.adsabs.harvard.edu/abs/2021arXiv210104579B/abstract","2021arXiv210104579B")</f>
        <v>2021arXiv210104579B</v>
      </c>
      <c r="C1296" s="1" t="s">
        <v>70</v>
      </c>
      <c r="E1296" s="2" t="str">
        <f>HYPERLINK("https://ui.adsabs.harvard.edu/abs/2021arXiv210104579B/abstract","2021arXiv210104579B")</f>
        <v>2021arXiv210104579B</v>
      </c>
      <c r="G1296" s="1" t="s">
        <v>72</v>
      </c>
      <c r="H1296" s="1">
        <v>0.9961402</v>
      </c>
      <c r="I1296" s="1" t="s">
        <v>1041</v>
      </c>
    </row>
    <row r="1297">
      <c r="A1297" s="2" t="str">
        <f>HYPERLINK("https://ui.adsabs.harvard.edu/abs/2021Quant...5..513S/abstract","2021Quant...5..513S")</f>
        <v>2021Quant...5..513S</v>
      </c>
      <c r="B1297" s="2" t="str">
        <f>HYPERLINK("https://ui.adsabs.harvard.edu/abs/2020arXiv201108057S/abstract","2020arXiv201108057S")</f>
        <v>2020arXiv201108057S</v>
      </c>
      <c r="C1297" s="1" t="s">
        <v>70</v>
      </c>
      <c r="E1297" s="2" t="str">
        <f>HYPERLINK("https://ui.adsabs.harvard.edu/abs/2020arXiv201108057S/abstract","2020arXiv201108057S")</f>
        <v>2020arXiv201108057S</v>
      </c>
      <c r="G1297" s="1" t="s">
        <v>72</v>
      </c>
      <c r="H1297" s="1">
        <v>0.9961402</v>
      </c>
      <c r="I1297" s="1" t="s">
        <v>1041</v>
      </c>
    </row>
    <row r="1298">
      <c r="A1298" s="2" t="str">
        <f>HYPERLINK("https://ui.adsabs.harvard.edu/abs/2021Quant...5..514S/abstract","2021Quant...5..514S")</f>
        <v>2021Quant...5..514S</v>
      </c>
      <c r="B1298" s="2" t="str">
        <f>HYPERLINK("https://ui.adsabs.harvard.edu/abs/2020arXiv201214342S/abstract","2020arXiv201214342S")</f>
        <v>2020arXiv201214342S</v>
      </c>
      <c r="C1298" s="1" t="s">
        <v>70</v>
      </c>
      <c r="E1298" s="2" t="str">
        <f>HYPERLINK("https://ui.adsabs.harvard.edu/abs/2020arXiv201214342S/abstract","2020arXiv201214342S")</f>
        <v>2020arXiv201214342S</v>
      </c>
      <c r="G1298" s="1" t="s">
        <v>72</v>
      </c>
      <c r="H1298" s="1">
        <v>0.9961402</v>
      </c>
      <c r="I1298" s="1" t="s">
        <v>1041</v>
      </c>
    </row>
    <row r="1299">
      <c r="A1299" s="2" t="str">
        <f>HYPERLINK("https://ui.adsabs.harvard.edu/abs/2021Quant...5..515P/abstract","2021Quant...5..515P")</f>
        <v>2021Quant...5..515P</v>
      </c>
      <c r="B1299" s="2" t="str">
        <f>HYPERLINK("https://ui.adsabs.harvard.edu/abs/2020arXiv201215213P/abstract","2020arXiv201215213P")</f>
        <v>2020arXiv201215213P</v>
      </c>
      <c r="C1299" s="1" t="s">
        <v>70</v>
      </c>
      <c r="E1299" s="2" t="str">
        <f>HYPERLINK("https://ui.adsabs.harvard.edu/abs/2020arXiv201215213P/abstract","2020arXiv201215213P")</f>
        <v>2020arXiv201215213P</v>
      </c>
      <c r="G1299" s="1" t="s">
        <v>72</v>
      </c>
      <c r="H1299" s="1">
        <v>0.9961402</v>
      </c>
      <c r="I1299" s="1" t="s">
        <v>1041</v>
      </c>
    </row>
    <row r="1300">
      <c r="A1300" s="2" t="str">
        <f>HYPERLINK("https://ui.adsabs.harvard.edu/abs/2021Quant...5..516S/abstract","2021Quant...5..516S")</f>
        <v>2021Quant...5..516S</v>
      </c>
      <c r="B1300" s="2" t="str">
        <f>HYPERLINK("https://ui.adsabs.harvard.edu/abs/2020arXiv200602580S/abstract","2020arXiv200602580S")</f>
        <v>2020arXiv200602580S</v>
      </c>
      <c r="C1300" s="1" t="s">
        <v>70</v>
      </c>
      <c r="E1300" s="2" t="str">
        <f>HYPERLINK("https://ui.adsabs.harvard.edu/abs/2020arXiv200602580S/abstract","2020arXiv200602580S")</f>
        <v>2020arXiv200602580S</v>
      </c>
      <c r="G1300" s="1" t="s">
        <v>72</v>
      </c>
      <c r="H1300" s="1">
        <v>0.9961402</v>
      </c>
      <c r="I1300" s="1" t="s">
        <v>1041</v>
      </c>
    </row>
    <row r="1301">
      <c r="A1301" s="2" t="str">
        <f>HYPERLINK("https://ui.adsabs.harvard.edu/abs/2021Quant...5..517H/abstract","2021Quant...5..517H")</f>
        <v>2021Quant...5..517H</v>
      </c>
      <c r="B1301" s="2" t="str">
        <f>HYPERLINK("https://ui.adsabs.harvard.edu/abs/2020arXiv200200362H/abstract","2020arXiv200200362H")</f>
        <v>2020arXiv200200362H</v>
      </c>
      <c r="C1301" s="1" t="s">
        <v>70</v>
      </c>
      <c r="E1301" s="2" t="str">
        <f>HYPERLINK("https://ui.adsabs.harvard.edu/abs/2020arXiv200200362H/abstract","2020arXiv200200362H")</f>
        <v>2020arXiv200200362H</v>
      </c>
      <c r="G1301" s="1" t="s">
        <v>72</v>
      </c>
      <c r="H1301" s="1">
        <v>0.9961402</v>
      </c>
      <c r="I1301" s="1" t="s">
        <v>1041</v>
      </c>
    </row>
    <row r="1302">
      <c r="A1302" s="2" t="str">
        <f>HYPERLINK("https://ui.adsabs.harvard.edu/abs/2021Quant...5..519S/abstract","2021Quant...5..519S")</f>
        <v>2021Quant...5..519S</v>
      </c>
      <c r="B1302" s="2" t="str">
        <f>HYPERLINK("https://ui.adsabs.harvard.edu/abs/2020arXiv201007898S/abstract","2020arXiv201007898S")</f>
        <v>2020arXiv201007898S</v>
      </c>
      <c r="C1302" s="1" t="s">
        <v>70</v>
      </c>
      <c r="E1302" s="2" t="str">
        <f>HYPERLINK("https://ui.adsabs.harvard.edu/abs/2020arXiv201007898S/abstract","2020arXiv201007898S")</f>
        <v>2020arXiv201007898S</v>
      </c>
      <c r="G1302" s="1" t="s">
        <v>72</v>
      </c>
      <c r="H1302" s="1">
        <v>0.9961402</v>
      </c>
      <c r="I1302" s="1" t="s">
        <v>1041</v>
      </c>
    </row>
    <row r="1303">
      <c r="A1303" s="2" t="str">
        <f>HYPERLINK("https://ui.adsabs.harvard.edu/abs/2021Quant...5..520D/abstract","2021Quant...5..520D")</f>
        <v>2021Quant...5..520D</v>
      </c>
      <c r="B1303" s="2" t="str">
        <f>HYPERLINK("https://ui.adsabs.harvard.edu/abs/2020arXiv201005734D/abstract","2020arXiv201005734D")</f>
        <v>2020arXiv201005734D</v>
      </c>
      <c r="C1303" s="1" t="s">
        <v>70</v>
      </c>
      <c r="E1303" s="2" t="str">
        <f>HYPERLINK("https://ui.adsabs.harvard.edu/abs/2020arXiv201005734D/abstract","2020arXiv201005734D")</f>
        <v>2020arXiv201005734D</v>
      </c>
      <c r="G1303" s="1" t="s">
        <v>72</v>
      </c>
      <c r="H1303" s="1">
        <v>0.9961402</v>
      </c>
      <c r="I1303" s="1" t="s">
        <v>1041</v>
      </c>
    </row>
    <row r="1304">
      <c r="A1304" s="2" t="str">
        <f>HYPERLINK("https://ui.adsabs.harvard.edu/abs/2021Quant...5..521Z/abstract","2021Quant...5..521Z")</f>
        <v>2021Quant...5..521Z</v>
      </c>
      <c r="B1304" s="2" t="str">
        <f>HYPERLINK("https://ui.adsabs.harvard.edu/abs/2020arXiv200511918Z/abstract","2020arXiv200511918Z")</f>
        <v>2020arXiv200511918Z</v>
      </c>
      <c r="C1304" s="1" t="s">
        <v>70</v>
      </c>
      <c r="E1304" s="2" t="str">
        <f>HYPERLINK("https://ui.adsabs.harvard.edu/abs/2020arXiv200511918Z/abstract","2020arXiv200511918Z")</f>
        <v>2020arXiv200511918Z</v>
      </c>
      <c r="G1304" s="1" t="s">
        <v>72</v>
      </c>
      <c r="H1304" s="1">
        <v>0.9961402</v>
      </c>
      <c r="I1304" s="1" t="s">
        <v>1041</v>
      </c>
    </row>
    <row r="1305">
      <c r="A1305" s="2" t="str">
        <f>HYPERLINK("https://ui.adsabs.harvard.edu/abs/2021Quant...5..522R/abstract","2021Quant...5..522R")</f>
        <v>2021Quant...5..522R</v>
      </c>
      <c r="B1305" s="2" t="str">
        <f>HYPERLINK("https://ui.adsabs.harvard.edu/abs/2021arXiv210207773R/abstract","2021arXiv210207773R")</f>
        <v>2021arXiv210207773R</v>
      </c>
      <c r="C1305" s="1" t="s">
        <v>70</v>
      </c>
      <c r="E1305" s="2" t="str">
        <f>HYPERLINK("https://ui.adsabs.harvard.edu/abs/2021arXiv210207773R/abstract","2021arXiv210207773R")</f>
        <v>2021arXiv210207773R</v>
      </c>
      <c r="G1305" s="1" t="s">
        <v>72</v>
      </c>
      <c r="H1305" s="1">
        <v>0.9961402</v>
      </c>
      <c r="I1305" s="1" t="s">
        <v>1041</v>
      </c>
    </row>
    <row r="1306">
      <c r="A1306" s="2" t="str">
        <f>HYPERLINK("https://ui.adsabs.harvard.edu/abs/2021Quant...5..523M/abstract","2021Quant...5..523M")</f>
        <v>2021Quant...5..523M</v>
      </c>
      <c r="B1306" s="2" t="str">
        <f>HYPERLINK("https://ui.adsabs.harvard.edu/abs/2020arXiv200513588M/abstract","2020arXiv200513588M")</f>
        <v>2020arXiv200513588M</v>
      </c>
      <c r="C1306" s="1" t="s">
        <v>70</v>
      </c>
      <c r="E1306" s="2" t="str">
        <f>HYPERLINK("https://ui.adsabs.harvard.edu/abs/2020arXiv200513588M/abstract","2020arXiv200513588M")</f>
        <v>2020arXiv200513588M</v>
      </c>
      <c r="G1306" s="1" t="s">
        <v>72</v>
      </c>
      <c r="H1306" s="1">
        <v>0.9961402</v>
      </c>
      <c r="I1306" s="1" t="s">
        <v>1041</v>
      </c>
    </row>
    <row r="1307">
      <c r="A1307" s="2" t="str">
        <f>HYPERLINK("https://ui.adsabs.harvard.edu/abs/2021Quant...5..525V/abstract","2021Quant...5..525V")</f>
        <v>2021Quant...5..525V</v>
      </c>
      <c r="B1307" s="2" t="str">
        <f>HYPERLINK("https://ui.adsabs.harvard.edu/abs/2020arXiv200205883V/abstract","2020arXiv200205883V")</f>
        <v>2020arXiv200205883V</v>
      </c>
      <c r="C1307" s="1" t="s">
        <v>70</v>
      </c>
      <c r="E1307" s="2" t="str">
        <f>HYPERLINK("https://ui.adsabs.harvard.edu/abs/2020arXiv200205883V/abstract","2020arXiv200205883V")</f>
        <v>2020arXiv200205883V</v>
      </c>
      <c r="G1307" s="1" t="s">
        <v>72</v>
      </c>
      <c r="H1307" s="1">
        <v>0.9961402</v>
      </c>
      <c r="I1307" s="1" t="s">
        <v>1041</v>
      </c>
    </row>
    <row r="1308">
      <c r="A1308" s="2" t="str">
        <f>HYPERLINK("https://ui.adsabs.harvard.edu/abs/2021Quant...5..526M/abstract","2021Quant...5..526M")</f>
        <v>2021Quant...5..526M</v>
      </c>
      <c r="B1308" s="2" t="str">
        <f>HYPERLINK("https://ui.adsabs.harvard.edu/abs/2021arXiv210600869M/abstract","2021arXiv210600869M")</f>
        <v>2021arXiv210600869M</v>
      </c>
      <c r="C1308" s="1" t="s">
        <v>70</v>
      </c>
      <c r="E1308" s="2" t="str">
        <f>HYPERLINK("https://ui.adsabs.harvard.edu/abs/2021arXiv210600869M/abstract","2021arXiv210600869M")</f>
        <v>2021arXiv210600869M</v>
      </c>
      <c r="G1308" s="1" t="s">
        <v>72</v>
      </c>
      <c r="H1308" s="1">
        <v>0.9961402</v>
      </c>
      <c r="I1308" s="1" t="s">
        <v>1041</v>
      </c>
    </row>
    <row r="1309">
      <c r="A1309" s="2" t="str">
        <f>HYPERLINK("https://ui.adsabs.harvard.edu/abs/2021Quant...5..527T/abstract","2021Quant...5..527T")</f>
        <v>2021Quant...5..527T</v>
      </c>
      <c r="B1309" s="2" t="str">
        <f>HYPERLINK("https://ui.adsabs.harvard.edu/abs/2021arXiv210308532T/abstract","2021arXiv210308532T")</f>
        <v>2021arXiv210308532T</v>
      </c>
      <c r="C1309" s="1" t="s">
        <v>70</v>
      </c>
      <c r="E1309" s="2" t="str">
        <f>HYPERLINK("https://ui.adsabs.harvard.edu/abs/2021arXiv210308532T/abstract","2021arXiv210308532T")</f>
        <v>2021arXiv210308532T</v>
      </c>
      <c r="G1309" s="1" t="s">
        <v>72</v>
      </c>
      <c r="H1309" s="1">
        <v>0.9961402</v>
      </c>
      <c r="I1309" s="1" t="s">
        <v>1041</v>
      </c>
    </row>
    <row r="1310">
      <c r="A1310" s="2" t="str">
        <f>HYPERLINK("https://ui.adsabs.harvard.edu/abs/2021Quant...5..528B/abstract","2021Quant...5..528B")</f>
        <v>2021Quant...5..528B</v>
      </c>
      <c r="B1310" s="2" t="str">
        <f>HYPERLINK("https://ui.adsabs.harvard.edu/abs/2020arXiv201111620B/abstract","2020arXiv201111620B")</f>
        <v>2020arXiv201111620B</v>
      </c>
      <c r="C1310" s="1" t="s">
        <v>70</v>
      </c>
      <c r="E1310" s="2" t="str">
        <f>HYPERLINK("https://ui.adsabs.harvard.edu/abs/2020arXiv201111620B/abstract","2020arXiv201111620B")</f>
        <v>2020arXiv201111620B</v>
      </c>
      <c r="G1310" s="1" t="s">
        <v>72</v>
      </c>
      <c r="H1310" s="1">
        <v>0.9961402</v>
      </c>
      <c r="I1310" s="1" t="s">
        <v>1041</v>
      </c>
    </row>
    <row r="1311">
      <c r="A1311" s="2" t="str">
        <f>HYPERLINK("https://ui.adsabs.harvard.edu/abs/2021Quant...5..531W/abstract","2021Quant...5..531W")</f>
        <v>2021Quant...5..531W</v>
      </c>
      <c r="B1311" s="2" t="str">
        <f>HYPERLINK("https://ui.adsabs.harvard.edu/abs/2021arXiv210316774W/abstract","2021arXiv210316774W")</f>
        <v>2021arXiv210316774W</v>
      </c>
      <c r="C1311" s="1" t="s">
        <v>70</v>
      </c>
      <c r="E1311" s="2" t="str">
        <f>HYPERLINK("https://ui.adsabs.harvard.edu/abs/2021arXiv210316774W/abstract","2021arXiv210316774W")</f>
        <v>2021arXiv210316774W</v>
      </c>
      <c r="G1311" s="1" t="s">
        <v>72</v>
      </c>
      <c r="H1311" s="1">
        <v>0.9961402</v>
      </c>
      <c r="I1311" s="1" t="s">
        <v>1041</v>
      </c>
    </row>
    <row r="1312">
      <c r="A1312" s="2" t="str">
        <f>HYPERLINK("https://ui.adsabs.harvard.edu/abs/2021Quant...5..532A/abstract","2021Quant...5..532A")</f>
        <v>2021Quant...5..532A</v>
      </c>
      <c r="B1312" s="2" t="str">
        <f>HYPERLINK("https://ui.adsabs.harvard.edu/abs/2020arXiv200709148A/abstract","2020arXiv200709148A")</f>
        <v>2020arXiv200709148A</v>
      </c>
      <c r="C1312" s="1" t="s">
        <v>70</v>
      </c>
      <c r="E1312" s="2" t="str">
        <f>HYPERLINK("https://ui.adsabs.harvard.edu/abs/2020arXiv200709148A/abstract","2020arXiv200709148A")</f>
        <v>2020arXiv200709148A</v>
      </c>
      <c r="G1312" s="1" t="s">
        <v>72</v>
      </c>
      <c r="H1312" s="1">
        <v>0.9961402</v>
      </c>
      <c r="I1312" s="1" t="s">
        <v>1041</v>
      </c>
    </row>
    <row r="1313">
      <c r="A1313" s="2" t="str">
        <f>HYPERLINK("https://ui.adsabs.harvard.edu/abs/2021Quant...5..533B/abstract","2021Quant...5..533B")</f>
        <v>2021Quant...5..533B</v>
      </c>
      <c r="B1313" s="2" t="str">
        <f>HYPERLINK("https://ui.adsabs.harvard.edu/abs/2021arXiv210303264B/abstract","2021arXiv210303264B")</f>
        <v>2021arXiv210303264B</v>
      </c>
      <c r="C1313" s="1" t="s">
        <v>70</v>
      </c>
      <c r="E1313" s="2" t="str">
        <f>HYPERLINK("https://ui.adsabs.harvard.edu/abs/2021arXiv210303264B/abstract","2021arXiv210303264B")</f>
        <v>2021arXiv210303264B</v>
      </c>
      <c r="G1313" s="1" t="s">
        <v>72</v>
      </c>
      <c r="H1313" s="1">
        <v>0.9961402</v>
      </c>
      <c r="I1313" s="1" t="s">
        <v>1041</v>
      </c>
    </row>
    <row r="1314">
      <c r="A1314" s="2" t="str">
        <f>HYPERLINK("https://ui.adsabs.harvard.edu/abs/2021Quant...5..534Z/abstract","2021Quant...5..534Z")</f>
        <v>2021Quant...5..534Z</v>
      </c>
      <c r="B1314" s="2" t="str">
        <f>HYPERLINK("https://ui.adsabs.harvard.edu/abs/2021arXiv210307988Z/abstract","2021arXiv210307988Z")</f>
        <v>2021arXiv210307988Z</v>
      </c>
      <c r="C1314" s="1" t="s">
        <v>70</v>
      </c>
      <c r="E1314" s="2" t="str">
        <f>HYPERLINK("https://ui.adsabs.harvard.edu/abs/2021arXiv210307988Z/abstract","2021arXiv210307988Z")</f>
        <v>2021arXiv210307988Z</v>
      </c>
      <c r="G1314" s="1" t="s">
        <v>72</v>
      </c>
      <c r="H1314" s="1">
        <v>0.9961402</v>
      </c>
      <c r="I1314" s="1" t="s">
        <v>1041</v>
      </c>
    </row>
    <row r="1315">
      <c r="A1315" s="2" t="str">
        <f>HYPERLINK("https://ui.adsabs.harvard.edu/abs/2021Quant...5..535Y/abstract","2021Quant...5..535Y")</f>
        <v>2021Quant...5..535Y</v>
      </c>
      <c r="B1315" s="2" t="str">
        <f>HYPERLINK("https://ui.adsabs.harvard.edu/abs/2020arXiv201003080Y/abstract","2020arXiv201003080Y")</f>
        <v>2020arXiv201003080Y</v>
      </c>
      <c r="C1315" s="1" t="s">
        <v>70</v>
      </c>
      <c r="E1315" s="2" t="str">
        <f>HYPERLINK("https://ui.adsabs.harvard.edu/abs/2020arXiv201003080Y/abstract","2020arXiv201003080Y")</f>
        <v>2020arXiv201003080Y</v>
      </c>
      <c r="G1315" s="1" t="s">
        <v>72</v>
      </c>
      <c r="H1315" s="1">
        <v>0.9961402</v>
      </c>
      <c r="I1315" s="1" t="s">
        <v>1041</v>
      </c>
    </row>
    <row r="1316">
      <c r="A1316" s="2" t="str">
        <f>HYPERLINK("https://ui.adsabs.harvard.edu/abs/2021Quant...5..536B/abstract","2021Quant...5..536B")</f>
        <v>2021Quant...5..536B</v>
      </c>
      <c r="B1316" s="2" t="str">
        <f>HYPERLINK("https://ui.adsabs.harvard.edu/abs/2021arXiv210306728B/abstract","2021arXiv210306728B")</f>
        <v>2021arXiv210306728B</v>
      </c>
      <c r="C1316" s="1" t="s">
        <v>70</v>
      </c>
      <c r="E1316" s="2" t="str">
        <f>HYPERLINK("https://ui.adsabs.harvard.edu/abs/2021arXiv210306728B/abstract","2021arXiv210306728B")</f>
        <v>2021arXiv210306728B</v>
      </c>
      <c r="G1316" s="1" t="s">
        <v>72</v>
      </c>
      <c r="H1316" s="1">
        <v>0.9961402</v>
      </c>
      <c r="I1316" s="1" t="s">
        <v>1041</v>
      </c>
    </row>
    <row r="1317">
      <c r="A1317" s="2" t="str">
        <f>HYPERLINK("https://ui.adsabs.harvard.edu/abs/2021Quant...5..537K/abstract","2021Quant...5..537K")</f>
        <v>2021Quant...5..537K</v>
      </c>
      <c r="B1317" s="2" t="str">
        <f>HYPERLINK("https://ui.adsabs.harvard.edu/abs/2020arXiv200703193K/abstract","2020arXiv200703193K")</f>
        <v>2020arXiv200703193K</v>
      </c>
      <c r="C1317" s="1" t="s">
        <v>70</v>
      </c>
      <c r="E1317" s="2" t="str">
        <f>HYPERLINK("https://ui.adsabs.harvard.edu/abs/2020arXiv200703193K/abstract","2020arXiv200703193K")</f>
        <v>2020arXiv200703193K</v>
      </c>
      <c r="G1317" s="1" t="s">
        <v>72</v>
      </c>
      <c r="H1317" s="1">
        <v>0.9961402</v>
      </c>
      <c r="I1317" s="1" t="s">
        <v>1041</v>
      </c>
    </row>
    <row r="1318">
      <c r="A1318" s="2" t="str">
        <f>HYPERLINK("https://ui.adsabs.harvard.edu/abs/2021Quant...5..539M/abstract","2021Quant...5..539M")</f>
        <v>2021Quant...5..539M</v>
      </c>
      <c r="B1318" s="2" t="str">
        <f>HYPERLINK("https://ui.adsabs.harvard.edu/abs/2021arXiv210315191M/abstract","2021arXiv210315191M")</f>
        <v>2021arXiv210315191M</v>
      </c>
      <c r="C1318" s="1" t="s">
        <v>70</v>
      </c>
      <c r="E1318" s="2" t="str">
        <f>HYPERLINK("https://ui.adsabs.harvard.edu/abs/2021arXiv210315191M/abstract","2021arXiv210315191M")</f>
        <v>2021arXiv210315191M</v>
      </c>
      <c r="G1318" s="1" t="s">
        <v>72</v>
      </c>
      <c r="H1318" s="1">
        <v>0.9961402</v>
      </c>
      <c r="I1318" s="1" t="s">
        <v>1041</v>
      </c>
    </row>
    <row r="1319">
      <c r="A1319" s="2" t="str">
        <f>HYPERLINK("https://ui.adsabs.harvard.edu/abs/2021Quant...5..540D/abstract","2021Quant...5..540D")</f>
        <v>2021Quant...5..540D</v>
      </c>
      <c r="B1319" s="2" t="str">
        <f>HYPERLINK("https://ui.adsabs.harvard.edu/abs/2021arXiv210313945D/abstract","2021arXiv210313945D")</f>
        <v>2021arXiv210313945D</v>
      </c>
      <c r="C1319" s="1" t="s">
        <v>70</v>
      </c>
      <c r="E1319" s="2" t="str">
        <f>HYPERLINK("https://ui.adsabs.harvard.edu/abs/2021arXiv210313945D/abstract","2021arXiv210313945D")</f>
        <v>2021arXiv210313945D</v>
      </c>
      <c r="G1319" s="1" t="s">
        <v>72</v>
      </c>
      <c r="H1319" s="1">
        <v>0.9961402</v>
      </c>
      <c r="I1319" s="1" t="s">
        <v>1041</v>
      </c>
    </row>
    <row r="1320">
      <c r="A1320" s="2" t="str">
        <f>HYPERLINK("https://ui.adsabs.harvard.edu/abs/2021Quant...5..544M/abstract","2021Quant...5..544M")</f>
        <v>2021Quant...5..544M</v>
      </c>
      <c r="B1320" s="2" t="str">
        <f>HYPERLINK("https://ui.adsabs.harvard.edu/abs/2020arXiv200109161M/abstract","2020arXiv200109161M")</f>
        <v>2020arXiv200109161M</v>
      </c>
      <c r="C1320" s="1" t="s">
        <v>70</v>
      </c>
      <c r="E1320" s="2" t="str">
        <f>HYPERLINK("https://ui.adsabs.harvard.edu/abs/2020arXiv200109161M/abstract","2020arXiv200109161M")</f>
        <v>2020arXiv200109161M</v>
      </c>
      <c r="G1320" s="1" t="s">
        <v>72</v>
      </c>
      <c r="H1320" s="1">
        <v>0.9961402</v>
      </c>
      <c r="I1320" s="1" t="s">
        <v>1041</v>
      </c>
    </row>
    <row r="1321">
      <c r="A1321" s="2" t="str">
        <f>HYPERLINK("https://ui.adsabs.harvard.edu/abs/2021Quant...5..545T/abstract","2021Quant...5..545T")</f>
        <v>2021Quant...5..545T</v>
      </c>
      <c r="B1321" s="2" t="str">
        <f>HYPERLINK("https://ui.adsabs.harvard.edu/abs/2020arXiv200111395T/abstract","2020arXiv200111395T")</f>
        <v>2020arXiv200111395T</v>
      </c>
      <c r="C1321" s="1" t="s">
        <v>70</v>
      </c>
      <c r="E1321" s="2" t="str">
        <f>HYPERLINK("https://ui.adsabs.harvard.edu/abs/2020arXiv200111395T/abstract","2020arXiv200111395T")</f>
        <v>2020arXiv200111395T</v>
      </c>
      <c r="G1321" s="1" t="s">
        <v>72</v>
      </c>
      <c r="H1321" s="1">
        <v>0.9961402</v>
      </c>
      <c r="I1321" s="1" t="s">
        <v>1041</v>
      </c>
    </row>
    <row r="1322">
      <c r="A1322" s="2" t="str">
        <f>HYPERLINK("https://ui.adsabs.harvard.edu/abs/2021Quant...5..547H/abstract","2021Quant...5..547H")</f>
        <v>2021Quant...5..547H</v>
      </c>
      <c r="B1322" s="2" t="str">
        <f>HYPERLINK("https://ui.adsabs.harvard.edu/abs/2020arXiv201009070H/abstract","2020arXiv201009070H")</f>
        <v>2020arXiv201009070H</v>
      </c>
      <c r="C1322" s="1" t="s">
        <v>70</v>
      </c>
      <c r="E1322" s="2" t="str">
        <f>HYPERLINK("https://ui.adsabs.harvard.edu/abs/2020arXiv201009070H/abstract","2020arXiv201009070H")</f>
        <v>2020arXiv201009070H</v>
      </c>
      <c r="G1322" s="1" t="s">
        <v>72</v>
      </c>
      <c r="H1322" s="1">
        <v>0.9961402</v>
      </c>
      <c r="I1322" s="1" t="s">
        <v>1041</v>
      </c>
    </row>
    <row r="1323">
      <c r="A1323" s="2" t="str">
        <f>HYPERLINK("https://ui.adsabs.harvard.edu/abs/2021Quant...5..548C/abstract","2021Quant...5..548C")</f>
        <v>2021Quant...5..548C</v>
      </c>
      <c r="B1323" s="2" t="str">
        <f>HYPERLINK("https://ui.adsabs.harvard.edu/abs/2021arXiv210103151C/abstract","2021arXiv210103151C")</f>
        <v>2021arXiv210103151C</v>
      </c>
      <c r="C1323" s="1" t="s">
        <v>70</v>
      </c>
      <c r="E1323" s="2" t="str">
        <f>HYPERLINK("https://ui.adsabs.harvard.edu/abs/2021arXiv210103151C/abstract","2021arXiv210103151C")</f>
        <v>2021arXiv210103151C</v>
      </c>
      <c r="G1323" s="1" t="s">
        <v>72</v>
      </c>
      <c r="H1323" s="1">
        <v>0.9961402</v>
      </c>
      <c r="I1323" s="1" t="s">
        <v>1041</v>
      </c>
    </row>
    <row r="1324">
      <c r="A1324" s="2" t="str">
        <f>HYPERLINK("https://ui.adsabs.harvard.edu/abs/2021Quant...5..549F/abstract","2021Quant...5..549F")</f>
        <v>2021Quant...5..549F</v>
      </c>
      <c r="B1324" s="2" t="str">
        <f>HYPERLINK("https://ui.adsabs.harvard.edu/abs/2021arXiv210502885F/abstract","2021arXiv210502885F")</f>
        <v>2021arXiv210502885F</v>
      </c>
      <c r="C1324" s="1" t="s">
        <v>70</v>
      </c>
      <c r="E1324" s="2" t="str">
        <f>HYPERLINK("https://ui.adsabs.harvard.edu/abs/2021arXiv210502885F/abstract","2021arXiv210502885F")</f>
        <v>2021arXiv210502885F</v>
      </c>
      <c r="G1324" s="1" t="s">
        <v>72</v>
      </c>
      <c r="H1324" s="1">
        <v>0.9961402</v>
      </c>
      <c r="I1324" s="1" t="s">
        <v>1041</v>
      </c>
    </row>
    <row r="1325">
      <c r="A1325" s="2" t="str">
        <f>HYPERLINK("https://ui.adsabs.harvard.edu/abs/2021Quant...5..550B/abstract","2021Quant...5..550B")</f>
        <v>2021Quant...5..550B</v>
      </c>
      <c r="B1325" s="2" t="str">
        <f>HYPERLINK("https://ui.adsabs.harvard.edu/abs/2021arXiv210304502B/abstract","2021arXiv210304502B")</f>
        <v>2021arXiv210304502B</v>
      </c>
      <c r="C1325" s="1" t="s">
        <v>70</v>
      </c>
      <c r="E1325" s="2" t="str">
        <f>HYPERLINK("https://ui.adsabs.harvard.edu/abs/2021arXiv210304502B/abstract","2021arXiv210304502B")</f>
        <v>2021arXiv210304502B</v>
      </c>
      <c r="G1325" s="1" t="s">
        <v>72</v>
      </c>
      <c r="H1325" s="1">
        <v>0.9961402</v>
      </c>
      <c r="I1325" s="1" t="s">
        <v>1041</v>
      </c>
    </row>
    <row r="1326">
      <c r="A1326" s="2" t="str">
        <f>HYPERLINK("https://ui.adsabs.harvard.edu/abs/2021Quant...5..552C/abstract","2021Quant...5..552C")</f>
        <v>2021Quant...5..552C</v>
      </c>
      <c r="B1326" s="2" t="str">
        <f>HYPERLINK("https://ui.adsabs.harvard.edu/abs/2020arXiv200202823C/abstract","2020arXiv200202823C")</f>
        <v>2020arXiv200202823C</v>
      </c>
      <c r="C1326" s="1" t="s">
        <v>70</v>
      </c>
      <c r="E1326" s="2" t="str">
        <f>HYPERLINK("https://ui.adsabs.harvard.edu/abs/2020arXiv200202823C/abstract","2020arXiv200202823C")</f>
        <v>2020arXiv200202823C</v>
      </c>
      <c r="G1326" s="1" t="s">
        <v>72</v>
      </c>
      <c r="H1326" s="1">
        <v>0.9961402</v>
      </c>
      <c r="I1326" s="1" t="s">
        <v>1041</v>
      </c>
    </row>
    <row r="1327">
      <c r="A1327" s="2" t="str">
        <f>HYPERLINK("https://ui.adsabs.harvard.edu/abs/2021Quant...5..553X/abstract","2021Quant...5..553X")</f>
        <v>2021Quant...5..553X</v>
      </c>
      <c r="B1327" s="2" t="str">
        <f>HYPERLINK("https://ui.adsabs.harvard.edu/abs/2020arXiv200605524X/abstract","2020arXiv200605524X")</f>
        <v>2020arXiv200605524X</v>
      </c>
      <c r="C1327" s="1" t="s">
        <v>70</v>
      </c>
      <c r="E1327" s="2" t="str">
        <f>HYPERLINK("https://ui.adsabs.harvard.edu/abs/2020arXiv200605524X/abstract","2020arXiv200605524X")</f>
        <v>2020arXiv200605524X</v>
      </c>
      <c r="G1327" s="1" t="s">
        <v>72</v>
      </c>
      <c r="H1327" s="1">
        <v>0.9961402</v>
      </c>
      <c r="I1327" s="1" t="s">
        <v>1041</v>
      </c>
    </row>
    <row r="1328">
      <c r="A1328" s="2" t="str">
        <f>HYPERLINK("https://ui.adsabs.harvard.edu/abs/2021Quant...5..554F/abstract","2021Quant...5..554F")</f>
        <v>2021Quant...5..554F</v>
      </c>
      <c r="B1328" s="2" t="str">
        <f>HYPERLINK("https://ui.adsabs.harvard.edu/abs/2021arXiv210504649F/abstract","2021arXiv210504649F")</f>
        <v>2021arXiv210504649F</v>
      </c>
      <c r="C1328" s="1" t="s">
        <v>70</v>
      </c>
      <c r="E1328" s="2" t="str">
        <f>HYPERLINK("https://ui.adsabs.harvard.edu/abs/2021arXiv210504649F/abstract","2021arXiv210504649F")</f>
        <v>2021arXiv210504649F</v>
      </c>
      <c r="G1328" s="1" t="s">
        <v>72</v>
      </c>
      <c r="H1328" s="1">
        <v>0.9961402</v>
      </c>
      <c r="I1328" s="1" t="s">
        <v>1041</v>
      </c>
    </row>
    <row r="1329">
      <c r="A1329" s="2" t="str">
        <f>HYPERLINK("https://ui.adsabs.harvard.edu/abs/2021Quant...5..558A/abstract","2021Quant...5..558A")</f>
        <v>2021Quant...5..558A</v>
      </c>
      <c r="B1329" s="2" t="str">
        <f>HYPERLINK("https://ui.adsabs.harvard.edu/abs/2020arXiv201112245A/abstract","2020arXiv201112245A")</f>
        <v>2020arXiv201112245A</v>
      </c>
      <c r="C1329" s="1" t="s">
        <v>70</v>
      </c>
      <c r="E1329" s="2" t="str">
        <f>HYPERLINK("https://ui.adsabs.harvard.edu/abs/2020arXiv201112245A/abstract","2020arXiv201112245A")</f>
        <v>2020arXiv201112245A</v>
      </c>
      <c r="G1329" s="1" t="s">
        <v>72</v>
      </c>
      <c r="H1329" s="1">
        <v>0.9961402</v>
      </c>
      <c r="I1329" s="1" t="s">
        <v>1041</v>
      </c>
    </row>
    <row r="1330">
      <c r="A1330" s="2" t="str">
        <f>HYPERLINK("https://ui.adsabs.harvard.edu/abs/2021Quant...5..559S/abstract","2021Quant...5..559S")</f>
        <v>2021Quant...5..559S</v>
      </c>
      <c r="B1330" s="2" t="str">
        <f>HYPERLINK("https://ui.adsabs.harvard.edu/abs/2020arXiv201113524S/abstract","2020arXiv201113524S")</f>
        <v>2020arXiv201113524S</v>
      </c>
      <c r="C1330" s="1" t="s">
        <v>70</v>
      </c>
      <c r="E1330" s="2" t="str">
        <f>HYPERLINK("https://ui.adsabs.harvard.edu/abs/2020arXiv201113524S/abstract","2020arXiv201113524S")</f>
        <v>2020arXiv201113524S</v>
      </c>
      <c r="G1330" s="1" t="s">
        <v>72</v>
      </c>
      <c r="H1330" s="1">
        <v>0.9961402</v>
      </c>
      <c r="I1330" s="1" t="s">
        <v>1041</v>
      </c>
    </row>
    <row r="1331">
      <c r="A1331" s="2" t="str">
        <f>HYPERLINK("https://ui.adsabs.harvard.edu/abs/2021Quant...5..560K/abstract","2021Quant...5..560K")</f>
        <v>2021Quant...5..560K</v>
      </c>
      <c r="B1331" s="2" t="str">
        <f>HYPERLINK("https://ui.adsabs.harvard.edu/abs/2020arXiv200808721K/abstract","2020arXiv200808721K")</f>
        <v>2020arXiv200808721K</v>
      </c>
      <c r="C1331" s="1" t="s">
        <v>70</v>
      </c>
      <c r="E1331" s="2" t="str">
        <f>HYPERLINK("https://ui.adsabs.harvard.edu/abs/2020arXiv200808721K/abstract","2020arXiv200808721K")</f>
        <v>2020arXiv200808721K</v>
      </c>
      <c r="G1331" s="1" t="s">
        <v>72</v>
      </c>
      <c r="H1331" s="1">
        <v>0.9961402</v>
      </c>
      <c r="I1331" s="1" t="s">
        <v>1041</v>
      </c>
    </row>
    <row r="1332">
      <c r="A1332" s="2" t="str">
        <f>HYPERLINK("https://ui.adsabs.harvard.edu/abs/2021Quant...5..561M/abstract","2021Quant...5..561M")</f>
        <v>2021Quant...5..561M</v>
      </c>
      <c r="B1332" s="2" t="str">
        <f>HYPERLINK("https://ui.adsabs.harvard.edu/abs/2020arXiv201206631M/abstract","2020arXiv201206631M")</f>
        <v>2020arXiv201206631M</v>
      </c>
      <c r="C1332" s="1" t="s">
        <v>70</v>
      </c>
      <c r="E1332" s="2" t="str">
        <f>HYPERLINK("https://ui.adsabs.harvard.edu/abs/2020arXiv201206631M/abstract","2020arXiv201206631M")</f>
        <v>2020arXiv201206631M</v>
      </c>
      <c r="G1332" s="1" t="s">
        <v>72</v>
      </c>
      <c r="H1332" s="1">
        <v>0.9961402</v>
      </c>
      <c r="I1332" s="1" t="s">
        <v>1041</v>
      </c>
    </row>
    <row r="1333">
      <c r="A1333" s="2" t="str">
        <f>HYPERLINK("https://ui.adsabs.harvard.edu/abs/2021Quant...5..562R/abstract","2021Quant...5..562R")</f>
        <v>2021Quant...5..562R</v>
      </c>
      <c r="B1333" s="2" t="str">
        <f>HYPERLINK("https://ui.adsabs.harvard.edu/abs/2020arXiv201215297R/abstract","2020arXiv201215297R")</f>
        <v>2020arXiv201215297R</v>
      </c>
      <c r="C1333" s="1" t="s">
        <v>70</v>
      </c>
      <c r="E1333" s="2" t="str">
        <f>HYPERLINK("https://ui.adsabs.harvard.edu/abs/2020arXiv201215297R/abstract","2020arXiv201215297R")</f>
        <v>2020arXiv201215297R</v>
      </c>
      <c r="G1333" s="1" t="s">
        <v>72</v>
      </c>
      <c r="H1333" s="1">
        <v>0.9961402</v>
      </c>
      <c r="I1333" s="1" t="s">
        <v>1041</v>
      </c>
    </row>
    <row r="1334">
      <c r="A1334" s="2" t="str">
        <f>HYPERLINK("https://ui.adsabs.harvard.edu/abs/2021Quant...5..563C/abstract","2021Quant...5..563C")</f>
        <v>2021Quant...5..563C</v>
      </c>
      <c r="B1334" s="2" t="str">
        <f>HYPERLINK("https://ui.adsabs.harvard.edu/abs/2021arXiv210510515C/abstract","2021arXiv210510515C")</f>
        <v>2021arXiv210510515C</v>
      </c>
      <c r="C1334" s="1" t="s">
        <v>70</v>
      </c>
      <c r="E1334" s="2" t="str">
        <f>HYPERLINK("https://ui.adsabs.harvard.edu/abs/2021arXiv210510515C/abstract","2021arXiv210510515C")</f>
        <v>2021arXiv210510515C</v>
      </c>
      <c r="G1334" s="1" t="s">
        <v>72</v>
      </c>
      <c r="H1334" s="1">
        <v>0.9961402</v>
      </c>
      <c r="I1334" s="1" t="s">
        <v>1041</v>
      </c>
    </row>
    <row r="1335">
      <c r="A1335" s="2" t="str">
        <f>HYPERLINK("https://ui.adsabs.harvard.edu/abs/2021Quant...5..564H/abstract","2021Quant...5..564H")</f>
        <v>2021Quant...5..564H</v>
      </c>
      <c r="B1335" s="2" t="str">
        <f>HYPERLINK("https://ui.adsabs.harvard.edu/abs/2021arXiv210702194H/abstract","2021arXiv210702194H")</f>
        <v>2021arXiv210702194H</v>
      </c>
      <c r="C1335" s="1" t="s">
        <v>70</v>
      </c>
      <c r="E1335" s="2" t="str">
        <f>HYPERLINK("https://ui.adsabs.harvard.edu/abs/2021arXiv210702194H/abstract","2021arXiv210702194H")</f>
        <v>2021arXiv210702194H</v>
      </c>
      <c r="G1335" s="1" t="s">
        <v>72</v>
      </c>
      <c r="H1335" s="1">
        <v>0.9961402</v>
      </c>
      <c r="I1335" s="1" t="s">
        <v>1041</v>
      </c>
    </row>
    <row r="1336">
      <c r="A1336" s="2" t="str">
        <f>HYPERLINK("https://ui.adsabs.harvard.edu/abs/2021Quant...5..565M/abstract","2021Quant...5..565M")</f>
        <v>2021Quant...5..565M</v>
      </c>
      <c r="B1336" s="2" t="str">
        <f>HYPERLINK("https://ui.adsabs.harvard.edu/abs/2021arXiv210412619M/abstract","2021arXiv210412619M")</f>
        <v>2021arXiv210412619M</v>
      </c>
      <c r="C1336" s="1" t="s">
        <v>70</v>
      </c>
      <c r="E1336" s="2" t="str">
        <f>HYPERLINK("https://ui.adsabs.harvard.edu/abs/2021arXiv210412619M/abstract","2021arXiv210412619M")</f>
        <v>2021arXiv210412619M</v>
      </c>
      <c r="G1336" s="1" t="s">
        <v>72</v>
      </c>
      <c r="H1336" s="1">
        <v>0.9961402</v>
      </c>
      <c r="I1336" s="1" t="s">
        <v>1041</v>
      </c>
    </row>
    <row r="1337">
      <c r="A1337" s="2" t="str">
        <f>HYPERLINK("https://ui.adsabs.harvard.edu/abs/2021Quant...5..566R/abstract","2021Quant...5..566R")</f>
        <v>2021Quant...5..566R</v>
      </c>
      <c r="B1337" s="2" t="str">
        <f>HYPERLINK("https://ui.adsabs.harvard.edu/abs/2021arXiv210309717R/abstract","2021arXiv210309717R")</f>
        <v>2021arXiv210309717R</v>
      </c>
      <c r="C1337" s="1" t="s">
        <v>70</v>
      </c>
      <c r="E1337" s="2" t="str">
        <f>HYPERLINK("https://ui.adsabs.harvard.edu/abs/2021arXiv210309717R/abstract","2021arXiv210309717R")</f>
        <v>2021arXiv210309717R</v>
      </c>
      <c r="G1337" s="1" t="s">
        <v>72</v>
      </c>
      <c r="H1337" s="1">
        <v>0.9961402</v>
      </c>
      <c r="I1337" s="1" t="s">
        <v>1041</v>
      </c>
    </row>
    <row r="1338">
      <c r="A1338" s="2" t="str">
        <f>HYPERLINK("https://ui.adsabs.harvard.edu/abs/2021Quant...5..570S/abstract","2021Quant...5..570S")</f>
        <v>2021Quant...5..570S</v>
      </c>
      <c r="B1338" s="2" t="str">
        <f>HYPERLINK("https://ui.adsabs.harvard.edu/abs/2020arXiv201013863S/abstract","2020arXiv201013863S")</f>
        <v>2020arXiv201013863S</v>
      </c>
      <c r="C1338" s="1" t="s">
        <v>70</v>
      </c>
      <c r="E1338" s="2" t="str">
        <f>HYPERLINK("https://ui.adsabs.harvard.edu/abs/2020arXiv201013863S/abstract","2020arXiv201013863S")</f>
        <v>2020arXiv201013863S</v>
      </c>
      <c r="G1338" s="1" t="s">
        <v>72</v>
      </c>
      <c r="H1338" s="1">
        <v>0.9961402</v>
      </c>
      <c r="I1338" s="1" t="s">
        <v>1041</v>
      </c>
    </row>
    <row r="1339">
      <c r="A1339" s="2" t="str">
        <f>HYPERLINK("https://ui.adsabs.harvard.edu/abs/2021Quant...5..572Y/abstract","2021Quant...5..572Y")</f>
        <v>2021Quant...5..572Y</v>
      </c>
      <c r="B1339" s="2" t="str">
        <f>HYPERLINK("https://ui.adsabs.harvard.edu/abs/2021arXiv210315021Y/abstract","2021arXiv210315021Y")</f>
        <v>2021arXiv210315021Y</v>
      </c>
      <c r="C1339" s="1" t="s">
        <v>70</v>
      </c>
      <c r="E1339" s="2" t="str">
        <f>HYPERLINK("https://ui.adsabs.harvard.edu/abs/2021arXiv210315021Y/abstract","2021arXiv210315021Y")</f>
        <v>2021arXiv210315021Y</v>
      </c>
      <c r="G1339" s="1" t="s">
        <v>72</v>
      </c>
      <c r="H1339" s="1">
        <v>0.9961402</v>
      </c>
      <c r="I1339" s="1" t="s">
        <v>1041</v>
      </c>
    </row>
    <row r="1340">
      <c r="A1340" s="2" t="str">
        <f>HYPERLINK("https://ui.adsabs.harvard.edu/abs/2021Quant...5..573O/abstract","2021Quant...5..573O")</f>
        <v>2021Quant...5..573O</v>
      </c>
      <c r="B1340" s="2" t="str">
        <f>HYPERLINK("https://ui.adsabs.harvard.edu/abs/2021arXiv210111868O/abstract","2021arXiv210111868O")</f>
        <v>2021arXiv210111868O</v>
      </c>
      <c r="C1340" s="1" t="s">
        <v>70</v>
      </c>
      <c r="E1340" s="2" t="str">
        <f>HYPERLINK("https://ui.adsabs.harvard.edu/abs/2021arXiv210111868O/abstract","2021arXiv210111868O")</f>
        <v>2021arXiv210111868O</v>
      </c>
      <c r="G1340" s="1" t="s">
        <v>72</v>
      </c>
      <c r="H1340" s="1">
        <v>0.9961402</v>
      </c>
      <c r="I1340" s="1" t="s">
        <v>1041</v>
      </c>
    </row>
    <row r="1341">
      <c r="A1341" s="2" t="str">
        <f>HYPERLINK("https://ui.adsabs.harvard.edu/abs/2021Quant...5..574C/abstract","2021Quant...5..574C")</f>
        <v>2021Quant...5..574C</v>
      </c>
      <c r="B1341" s="2" t="str">
        <f>HYPERLINK("https://ui.adsabs.harvard.edu/abs/2020arXiv200207868C/abstract","2020arXiv200207868C")</f>
        <v>2020arXiv200207868C</v>
      </c>
      <c r="C1341" s="1" t="s">
        <v>70</v>
      </c>
      <c r="E1341" s="2" t="str">
        <f>HYPERLINK("https://ui.adsabs.harvard.edu/abs/2020arXiv200207868C/abstract","2020arXiv200207868C")</f>
        <v>2020arXiv200207868C</v>
      </c>
      <c r="G1341" s="1" t="s">
        <v>72</v>
      </c>
      <c r="H1341" s="1">
        <v>0.9961402</v>
      </c>
      <c r="I1341" s="1" t="s">
        <v>1041</v>
      </c>
    </row>
    <row r="1342">
      <c r="A1342" s="2" t="str">
        <f>HYPERLINK("https://ui.adsabs.harvard.edu/abs/2021Quant...5..577G/abstract","2021Quant...5..577G")</f>
        <v>2021Quant...5..577G</v>
      </c>
      <c r="B1342" s="2" t="str">
        <f>HYPERLINK("https://ui.adsabs.harvard.edu/abs/2021arXiv210507304G/abstract","2021arXiv210507304G")</f>
        <v>2021arXiv210507304G</v>
      </c>
      <c r="C1342" s="1" t="s">
        <v>70</v>
      </c>
      <c r="E1342" s="2" t="str">
        <f>HYPERLINK("https://ui.adsabs.harvard.edu/abs/2021arXiv210507304G/abstract","2021arXiv210507304G")</f>
        <v>2021arXiv210507304G</v>
      </c>
      <c r="G1342" s="1" t="s">
        <v>72</v>
      </c>
      <c r="H1342" s="1">
        <v>0.9961402</v>
      </c>
      <c r="I1342" s="1" t="s">
        <v>1041</v>
      </c>
    </row>
    <row r="1343">
      <c r="A1343" s="2" t="str">
        <f>HYPERLINK("https://ui.adsabs.harvard.edu/abs/2021Quant...5..578C/abstract","2021Quant...5..578C")</f>
        <v>2021Quant...5..578C</v>
      </c>
      <c r="B1343" s="2" t="str">
        <f>HYPERLINK("https://ui.adsabs.harvard.edu/abs/2020arXiv200603520C/abstract","2020arXiv200603520C")</f>
        <v>2020arXiv200603520C</v>
      </c>
      <c r="C1343" s="1" t="s">
        <v>70</v>
      </c>
      <c r="E1343" s="2" t="str">
        <f>HYPERLINK("https://ui.adsabs.harvard.edu/abs/2020arXiv200603520C/abstract","2020arXiv200603520C")</f>
        <v>2020arXiv200603520C</v>
      </c>
      <c r="G1343" s="1" t="s">
        <v>72</v>
      </c>
      <c r="H1343" s="1">
        <v>0.9961402</v>
      </c>
      <c r="I1343" s="1" t="s">
        <v>1041</v>
      </c>
    </row>
    <row r="1344">
      <c r="A1344" s="2" t="str">
        <f>HYPERLINK("https://ui.adsabs.harvard.edu/abs/2021Quant...5..580B/abstract","2021Quant...5..580B")</f>
        <v>2021Quant...5..580B</v>
      </c>
      <c r="B1344" s="2" t="str">
        <f>HYPERLINK("https://ui.adsabs.harvard.edu/abs/2021arXiv210502291B/abstract","2021arXiv210502291B")</f>
        <v>2021arXiv210502291B</v>
      </c>
      <c r="C1344" s="1" t="s">
        <v>70</v>
      </c>
      <c r="E1344" s="2" t="str">
        <f>HYPERLINK("https://ui.adsabs.harvard.edu/abs/2021arXiv210502291B/abstract","2021arXiv210502291B")</f>
        <v>2021arXiv210502291B</v>
      </c>
      <c r="G1344" s="1" t="s">
        <v>72</v>
      </c>
      <c r="H1344" s="1">
        <v>0.9961402</v>
      </c>
      <c r="I1344" s="1" t="s">
        <v>1041</v>
      </c>
    </row>
    <row r="1345">
      <c r="A1345" s="2" t="str">
        <f>HYPERLINK("https://ui.adsabs.harvard.edu/abs/2021Quant...5..582C/abstract","2021Quant...5..582C")</f>
        <v>2021Quant...5..582C</v>
      </c>
      <c r="B1345" s="2" t="str">
        <f>HYPERLINK("https://ui.adsabs.harvard.edu/abs/2021arXiv210603880C/abstract","2021arXiv210603880C")</f>
        <v>2021arXiv210603880C</v>
      </c>
      <c r="C1345" s="1" t="s">
        <v>70</v>
      </c>
      <c r="E1345" s="2" t="str">
        <f>HYPERLINK("https://ui.adsabs.harvard.edu/abs/2021arXiv210603880C/abstract","2021arXiv210603880C")</f>
        <v>2021arXiv210603880C</v>
      </c>
      <c r="G1345" s="1" t="s">
        <v>72</v>
      </c>
      <c r="H1345" s="1">
        <v>0.9961402</v>
      </c>
      <c r="I1345" s="1" t="s">
        <v>1041</v>
      </c>
    </row>
    <row r="1346">
      <c r="A1346" s="2" t="str">
        <f>HYPERLINK("https://ui.adsabs.harvard.edu/abs/2021Quant...5..583G/abstract","2021Quant...5..583G")</f>
        <v>2021Quant...5..583G</v>
      </c>
      <c r="B1346" s="2" t="str">
        <f>HYPERLINK("https://ui.adsabs.harvard.edu/abs/2021arXiv210708552G/abstract","2021arXiv210708552G")</f>
        <v>2021arXiv210708552G</v>
      </c>
      <c r="C1346" s="1" t="s">
        <v>70</v>
      </c>
      <c r="E1346" s="2" t="str">
        <f>HYPERLINK("https://ui.adsabs.harvard.edu/abs/2021arXiv210708552G/abstract","2021arXiv210708552G")</f>
        <v>2021arXiv210708552G</v>
      </c>
      <c r="G1346" s="1" t="s">
        <v>72</v>
      </c>
      <c r="H1346" s="1">
        <v>0.9961402</v>
      </c>
      <c r="I1346" s="1" t="s">
        <v>1041</v>
      </c>
    </row>
    <row r="1347">
      <c r="A1347" s="2" t="str">
        <f>HYPERLINK("https://ui.adsabs.harvard.edu/abs/2021Quant...5..584T/abstract","2021Quant...5..584T")</f>
        <v>2021Quant...5..584T</v>
      </c>
      <c r="E1347" s="2" t="str">
        <f>HYPERLINK("https://ui.adsabs.harvard.edu/abs/2020arXiv200108251T/abstract","2020arXiv200108251T")</f>
        <v>2020arXiv200108251T</v>
      </c>
      <c r="G1347" s="1" t="s">
        <v>72</v>
      </c>
      <c r="H1347" s="1">
        <v>0.9961402</v>
      </c>
      <c r="I1347" s="1" t="s">
        <v>1041</v>
      </c>
    </row>
    <row r="1348">
      <c r="A1348" s="2" t="str">
        <f>HYPERLINK("https://ui.adsabs.harvard.edu/abs/2021Quant...5..586C/abstract","2021Quant...5..586C")</f>
        <v>2021Quant...5..586C</v>
      </c>
      <c r="B1348" s="2" t="str">
        <f>HYPERLINK("https://ui.adsabs.harvard.edu/abs/2021arXiv210500010C/abstract","2021arXiv210500010C")</f>
        <v>2021arXiv210500010C</v>
      </c>
      <c r="C1348" s="1" t="s">
        <v>70</v>
      </c>
      <c r="E1348" s="2" t="str">
        <f>HYPERLINK("https://ui.adsabs.harvard.edu/abs/2021arXiv210500010C/abstract","2021arXiv210500010C")</f>
        <v>2021arXiv210500010C</v>
      </c>
      <c r="G1348" s="1" t="s">
        <v>72</v>
      </c>
      <c r="H1348" s="1">
        <v>0.9961402</v>
      </c>
      <c r="I1348" s="1" t="s">
        <v>1041</v>
      </c>
    </row>
    <row r="1349">
      <c r="A1349" s="2" t="str">
        <f>HYPERLINK("https://ui.adsabs.harvard.edu/abs/2021Quant...5..588W/abstract","2021Quant...5..588W")</f>
        <v>2021Quant...5..588W</v>
      </c>
      <c r="B1349" s="2" t="str">
        <f>HYPERLINK("https://ui.adsabs.harvard.edu/abs/2020arXiv200514166W/abstract","2020arXiv200514166W")</f>
        <v>2020arXiv200514166W</v>
      </c>
      <c r="C1349" s="1" t="s">
        <v>70</v>
      </c>
      <c r="E1349" s="2" t="str">
        <f>HYPERLINK("https://ui.adsabs.harvard.edu/abs/2020arXiv200514166W/abstract","2020arXiv200514166W")</f>
        <v>2020arXiv200514166W</v>
      </c>
      <c r="G1349" s="1" t="s">
        <v>72</v>
      </c>
      <c r="H1349" s="1">
        <v>0.9961402</v>
      </c>
      <c r="I1349" s="1" t="s">
        <v>1041</v>
      </c>
    </row>
    <row r="1350">
      <c r="A1350" s="2" t="str">
        <f>HYPERLINK("https://ui.adsabs.harvard.edu/abs/2021Quant...5..589N/abstract","2021Quant...5..589N")</f>
        <v>2021Quant...5..589N</v>
      </c>
      <c r="B1350" s="2" t="str">
        <f>HYPERLINK("https://ui.adsabs.harvard.edu/abs/2020arXiv200609064N/abstract","2020arXiv200609064N")</f>
        <v>2020arXiv200609064N</v>
      </c>
      <c r="C1350" s="1" t="s">
        <v>70</v>
      </c>
      <c r="E1350" s="2" t="str">
        <f>HYPERLINK("https://ui.adsabs.harvard.edu/abs/2020arXiv200609064N/abstract","2020arXiv200609064N")</f>
        <v>2020arXiv200609064N</v>
      </c>
      <c r="G1350" s="1" t="s">
        <v>72</v>
      </c>
      <c r="H1350" s="1">
        <v>0.9961402</v>
      </c>
      <c r="I1350" s="1" t="s">
        <v>1041</v>
      </c>
    </row>
    <row r="1351">
      <c r="A1351" s="2" t="str">
        <f>HYPERLINK("https://ui.adsabs.harvard.edu/abs/2021Quant...5..590D/abstract","2021Quant...5..590D")</f>
        <v>2021Quant...5..590D</v>
      </c>
      <c r="B1351" s="2" t="str">
        <f>HYPERLINK("https://ui.adsabs.harvard.edu/abs/2020arXiv201207979D/abstract","2020arXiv201207979D")</f>
        <v>2020arXiv201207979D</v>
      </c>
      <c r="C1351" s="1" t="s">
        <v>70</v>
      </c>
      <c r="E1351" s="2" t="str">
        <f>HYPERLINK("https://ui.adsabs.harvard.edu/abs/2020arXiv201207979D/abstract","2020arXiv201207979D")</f>
        <v>2020arXiv201207979D</v>
      </c>
      <c r="G1351" s="1" t="s">
        <v>72</v>
      </c>
      <c r="H1351" s="1">
        <v>0.9961402</v>
      </c>
      <c r="I1351" s="1" t="s">
        <v>1041</v>
      </c>
    </row>
    <row r="1352">
      <c r="A1352" s="2" t="str">
        <f>HYPERLINK("https://ui.adsabs.harvard.edu/abs/2021Quant...5..591Z/abstract","2021Quant...5..591Z")</f>
        <v>2021Quant...5..591Z</v>
      </c>
      <c r="B1352" s="2" t="str">
        <f>HYPERLINK("https://ui.adsabs.harvard.edu/abs/2021arXiv210510250Z/abstract","2021arXiv210510250Z")</f>
        <v>2021arXiv210510250Z</v>
      </c>
      <c r="C1352" s="1" t="s">
        <v>70</v>
      </c>
      <c r="E1352" s="2" t="str">
        <f>HYPERLINK("https://ui.adsabs.harvard.edu/abs/2021arXiv210510250Z/abstract","2021arXiv210510250Z")</f>
        <v>2021arXiv210510250Z</v>
      </c>
      <c r="G1352" s="1" t="s">
        <v>72</v>
      </c>
      <c r="H1352" s="1">
        <v>0.9961402</v>
      </c>
      <c r="I1352" s="1" t="s">
        <v>1041</v>
      </c>
    </row>
    <row r="1353">
      <c r="A1353" s="2" t="str">
        <f>HYPERLINK("https://ui.adsabs.harvard.edu/abs/2021Quant...5..592C/abstract","2021Quant...5..592C")</f>
        <v>2021Quant...5..592C</v>
      </c>
      <c r="B1353" s="2" t="str">
        <f>HYPERLINK("https://ui.adsabs.harvard.edu/abs/2020arXiv200510189C/abstract","2020arXiv200510189C")</f>
        <v>2020arXiv200510189C</v>
      </c>
      <c r="C1353" s="1" t="s">
        <v>70</v>
      </c>
      <c r="E1353" s="2" t="str">
        <f>HYPERLINK("https://ui.adsabs.harvard.edu/abs/2020arXiv200510189C/abstract","2020arXiv200510189C")</f>
        <v>2020arXiv200510189C</v>
      </c>
      <c r="G1353" s="1" t="s">
        <v>72</v>
      </c>
      <c r="H1353" s="1">
        <v>0.9961402</v>
      </c>
      <c r="I1353" s="1" t="s">
        <v>1041</v>
      </c>
    </row>
    <row r="1354">
      <c r="A1354" s="2" t="str">
        <f>HYPERLINK("https://ui.adsabs.harvard.edu/abs/2021Quant...5..593B/abstract","2021Quant...5..593B")</f>
        <v>2021Quant...5..593B</v>
      </c>
      <c r="B1354" s="2" t="str">
        <f>HYPERLINK("https://ui.adsabs.harvard.edu/abs/2020arXiv200904347B/abstract","2020arXiv200904347B")</f>
        <v>2020arXiv200904347B</v>
      </c>
      <c r="C1354" s="1" t="s">
        <v>70</v>
      </c>
      <c r="E1354" s="2" t="str">
        <f>HYPERLINK("https://ui.adsabs.harvard.edu/abs/2020arXiv200904347B/abstract","2020arXiv200904347B")</f>
        <v>2020arXiv200904347B</v>
      </c>
      <c r="G1354" s="1" t="s">
        <v>72</v>
      </c>
      <c r="H1354" s="1">
        <v>0.9961402</v>
      </c>
      <c r="I1354" s="1" t="s">
        <v>1041</v>
      </c>
    </row>
    <row r="1355">
      <c r="A1355" s="2" t="str">
        <f>HYPERLINK("https://ui.adsabs.harvard.edu/abs/2021Quant...5..597H/abstract","2021Quant...5..597H")</f>
        <v>2021Quant...5..597H</v>
      </c>
      <c r="B1355" s="2" t="str">
        <f>HYPERLINK("https://ui.adsabs.harvard.edu/abs/2020arXiv200503791H/abstract","2020arXiv200503791H")</f>
        <v>2020arXiv200503791H</v>
      </c>
      <c r="C1355" s="1" t="s">
        <v>70</v>
      </c>
      <c r="E1355" s="2" t="str">
        <f>HYPERLINK("https://ui.adsabs.harvard.edu/abs/2020arXiv200503791H/abstract","2020arXiv200503791H")</f>
        <v>2020arXiv200503791H</v>
      </c>
      <c r="G1355" s="1" t="s">
        <v>72</v>
      </c>
      <c r="H1355" s="1">
        <v>0.9961402</v>
      </c>
      <c r="I1355" s="1" t="s">
        <v>1041</v>
      </c>
    </row>
    <row r="1356">
      <c r="A1356" s="2" t="str">
        <f>HYPERLINK("https://ui.adsabs.harvard.edu/abs/2021Quant...5..598B/abstract","2021Quant...5..598B")</f>
        <v>2021Quant...5..598B</v>
      </c>
      <c r="B1356" s="2" t="str">
        <f>HYPERLINK("https://ui.adsabs.harvard.edu/abs/2020arXiv200510555B/abstract","2020arXiv200510555B")</f>
        <v>2020arXiv200510555B</v>
      </c>
      <c r="C1356" s="1" t="s">
        <v>70</v>
      </c>
      <c r="E1356" s="2" t="str">
        <f>HYPERLINK("https://ui.adsabs.harvard.edu/abs/2020arXiv200510555B/abstract","2020arXiv200510555B")</f>
        <v>2020arXiv200510555B</v>
      </c>
      <c r="G1356" s="1" t="s">
        <v>72</v>
      </c>
      <c r="H1356" s="1">
        <v>0.9961402</v>
      </c>
      <c r="I1356" s="1" t="s">
        <v>1041</v>
      </c>
    </row>
    <row r="1357">
      <c r="A1357" s="2" t="str">
        <f>HYPERLINK("https://ui.adsabs.harvard.edu/abs/2021Quant...5..599M/abstract","2021Quant...5..599M")</f>
        <v>2021Quant...5..599M</v>
      </c>
      <c r="B1357" s="2" t="str">
        <f>HYPERLINK("https://ui.adsabs.harvard.edu/abs/2021arXiv210316389M/abstract","2021arXiv210316389M")</f>
        <v>2021arXiv210316389M</v>
      </c>
      <c r="C1357" s="1" t="s">
        <v>70</v>
      </c>
      <c r="E1357" s="2" t="str">
        <f>HYPERLINK("https://ui.adsabs.harvard.edu/abs/2021arXiv210316389M/abstract","2021arXiv210316389M")</f>
        <v>2021arXiv210316389M</v>
      </c>
      <c r="G1357" s="1" t="s">
        <v>72</v>
      </c>
      <c r="H1357" s="1">
        <v>0.9961402</v>
      </c>
      <c r="I1357" s="1" t="s">
        <v>1041</v>
      </c>
    </row>
    <row r="1358">
      <c r="A1358" s="2" t="str">
        <f>HYPERLINK("https://ui.adsabs.harvard.edu/abs/2021Quant...5..600J/abstract","2021Quant...5..600J")</f>
        <v>2021Quant...5..600J</v>
      </c>
      <c r="B1358" s="2" t="str">
        <f>HYPERLINK("https://ui.adsabs.harvard.edu/abs/2020arXiv201210959J/abstract","2020arXiv201210959J")</f>
        <v>2020arXiv201210959J</v>
      </c>
      <c r="C1358" s="1" t="s">
        <v>70</v>
      </c>
      <c r="E1358" s="2" t="str">
        <f>HYPERLINK("https://ui.adsabs.harvard.edu/abs/2020arXiv201210959J/abstract","2020arXiv201210959J")</f>
        <v>2020arXiv201210959J</v>
      </c>
      <c r="G1358" s="1" t="s">
        <v>72</v>
      </c>
      <c r="H1358" s="1">
        <v>0.9961402</v>
      </c>
      <c r="I1358" s="1" t="s">
        <v>1041</v>
      </c>
    </row>
    <row r="1359">
      <c r="A1359" s="2" t="str">
        <f>HYPERLINK("https://ui.adsabs.harvard.edu/abs/2021Quant...5..601W/abstract","2021Quant...5..601W")</f>
        <v>2021Quant...5..601W</v>
      </c>
      <c r="B1359" s="2" t="str">
        <f>HYPERLINK("https://ui.adsabs.harvard.edu/abs/2021arXiv210903135W/abstract","2021arXiv210903135W")</f>
        <v>2021arXiv210903135W</v>
      </c>
      <c r="C1359" s="1" t="s">
        <v>70</v>
      </c>
      <c r="E1359" s="2" t="str">
        <f>HYPERLINK("https://ui.adsabs.harvard.edu/abs/2021arXiv210903135W/abstract","2021arXiv210903135W")</f>
        <v>2021arXiv210903135W</v>
      </c>
      <c r="G1359" s="1" t="s">
        <v>72</v>
      </c>
      <c r="H1359" s="1">
        <v>0.9961402</v>
      </c>
      <c r="I1359" s="1" t="s">
        <v>1041</v>
      </c>
    </row>
    <row r="1360">
      <c r="A1360" s="2" t="str">
        <f>HYPERLINK("https://ui.adsabs.harvard.edu/abs/2021Quant...5..602Z/abstract","2021Quant...5..602Z")</f>
        <v>2021Quant...5..602Z</v>
      </c>
      <c r="B1360" s="2" t="str">
        <f>HYPERLINK("https://ui.adsabs.harvard.edu/abs/2021arXiv210511165Z/abstract","2021arXiv210511165Z")</f>
        <v>2021arXiv210511165Z</v>
      </c>
      <c r="C1360" s="1" t="s">
        <v>70</v>
      </c>
      <c r="E1360" s="2" t="str">
        <f>HYPERLINK("https://ui.adsabs.harvard.edu/abs/2021arXiv210511165Z/abstract","2021arXiv210511165Z")</f>
        <v>2021arXiv210511165Z</v>
      </c>
      <c r="G1360" s="1" t="s">
        <v>72</v>
      </c>
      <c r="H1360" s="1">
        <v>0.9961402</v>
      </c>
      <c r="I1360" s="1" t="s">
        <v>1041</v>
      </c>
    </row>
    <row r="1361">
      <c r="A1361" s="2" t="str">
        <f>HYPERLINK("https://ui.adsabs.harvard.edu/abs/2021Quant...5..604D/abstract","2021Quant...5..604D")</f>
        <v>2021Quant...5..604D</v>
      </c>
      <c r="B1361" s="2" t="str">
        <f>HYPERLINK("https://ui.adsabs.harvard.edu/abs/2020arXiv201215631D/abstract","2020arXiv201215631D")</f>
        <v>2020arXiv201215631D</v>
      </c>
      <c r="C1361" s="1" t="s">
        <v>70</v>
      </c>
      <c r="E1361" s="2" t="str">
        <f>HYPERLINK("https://ui.adsabs.harvard.edu/abs/2020arXiv201215631D/abstract","2020arXiv201215631D")</f>
        <v>2020arXiv201215631D</v>
      </c>
      <c r="G1361" s="1" t="s">
        <v>72</v>
      </c>
      <c r="H1361" s="1">
        <v>0.9961402</v>
      </c>
      <c r="I1361" s="1" t="s">
        <v>1041</v>
      </c>
    </row>
    <row r="1362">
      <c r="A1362" s="2" t="str">
        <f>HYPERLINK("https://ui.adsabs.harvard.edu/abs/2021Quant...5..605G/abstract","2021Quant...5..605G")</f>
        <v>2021Quant...5..605G</v>
      </c>
      <c r="B1362" s="2" t="str">
        <f>HYPERLINK("https://ui.adsabs.harvard.edu/abs/2021arXiv210810457G/abstract","2021arXiv210810457G")</f>
        <v>2021arXiv210810457G</v>
      </c>
      <c r="C1362" s="1" t="s">
        <v>70</v>
      </c>
      <c r="E1362" s="2" t="str">
        <f>HYPERLINK("https://ui.adsabs.harvard.edu/abs/2021arXiv210810457G/abstract","2021arXiv210810457G")</f>
        <v>2021arXiv210810457G</v>
      </c>
      <c r="G1362" s="1" t="s">
        <v>72</v>
      </c>
      <c r="H1362" s="1">
        <v>0.9961402</v>
      </c>
      <c r="I1362" s="1" t="s">
        <v>1041</v>
      </c>
    </row>
    <row r="1363">
      <c r="A1363" s="2" t="str">
        <f>HYPERLINK("https://ui.adsabs.harvard.edu/abs/2021Quant...5..607P/abstract","2021Quant...5..607P")</f>
        <v>2021Quant...5..607P</v>
      </c>
      <c r="B1363" s="2" t="str">
        <f>HYPERLINK("https://ui.adsabs.harvard.edu/abs/2021arXiv210703986P/abstract","2021arXiv210703986P")</f>
        <v>2021arXiv210703986P</v>
      </c>
      <c r="C1363" s="1" t="s">
        <v>70</v>
      </c>
      <c r="E1363" s="2" t="str">
        <f>HYPERLINK("https://ui.adsabs.harvard.edu/abs/2021arXiv210703986P/abstract","2021arXiv210703986P")</f>
        <v>2021arXiv210703986P</v>
      </c>
      <c r="G1363" s="1" t="s">
        <v>72</v>
      </c>
      <c r="H1363" s="1">
        <v>0.9961402</v>
      </c>
      <c r="I1363" s="1" t="s">
        <v>1041</v>
      </c>
    </row>
    <row r="1364">
      <c r="A1364" s="2" t="str">
        <f>HYPERLINK("https://ui.adsabs.harvard.edu/abs/2021Quant...5..608F/abstract","2021Quant...5..608F")</f>
        <v>2021Quant...5..608F</v>
      </c>
      <c r="B1364" s="2" t="str">
        <f>HYPERLINK("https://ui.adsabs.harvard.edu/abs/2020arXiv200606522F/abstract","2020arXiv200606522F")</f>
        <v>2020arXiv200606522F</v>
      </c>
      <c r="C1364" s="1" t="s">
        <v>70</v>
      </c>
      <c r="E1364" s="2" t="str">
        <f>HYPERLINK("https://ui.adsabs.harvard.edu/abs/2020arXiv200606522F/abstract","2020arXiv200606522F")</f>
        <v>2020arXiv200606522F</v>
      </c>
      <c r="G1364" s="1" t="s">
        <v>72</v>
      </c>
      <c r="H1364" s="1">
        <v>0.9961402</v>
      </c>
      <c r="I1364" s="1" t="s">
        <v>1041</v>
      </c>
    </row>
    <row r="1365">
      <c r="A1365" s="2" t="str">
        <f>HYPERLINK("https://ui.adsabs.harvard.edu/abs/2021Quant...5..609R/abstract","2021Quant...5..609R")</f>
        <v>2021Quant...5..609R</v>
      </c>
      <c r="B1365" s="2" t="str">
        <f>HYPERLINK("https://ui.adsabs.harvard.edu/abs/2020arXiv200906601R/abstract","2020arXiv200906601R")</f>
        <v>2020arXiv200906601R</v>
      </c>
      <c r="C1365" s="1" t="s">
        <v>70</v>
      </c>
      <c r="E1365" s="2" t="str">
        <f>HYPERLINK("https://ui.adsabs.harvard.edu/abs/2020arXiv200906601R/abstract","2020arXiv200906601R")</f>
        <v>2020arXiv200906601R</v>
      </c>
      <c r="G1365" s="1" t="s">
        <v>72</v>
      </c>
      <c r="H1365" s="1">
        <v>0.9961402</v>
      </c>
      <c r="I1365" s="1" t="s">
        <v>1041</v>
      </c>
    </row>
    <row r="1366">
      <c r="A1366" s="2" t="str">
        <f>HYPERLINK("https://ui.adsabs.harvard.edu/abs/2021Quant...5..610T/abstract","2021Quant...5..610T")</f>
        <v>2021Quant...5..610T</v>
      </c>
      <c r="B1366" s="2" t="str">
        <f>HYPERLINK("https://ui.adsabs.harvard.edu/abs/2021arXiv210304687T/abstract","2021arXiv210304687T")</f>
        <v>2021arXiv210304687T</v>
      </c>
      <c r="C1366" s="1" t="s">
        <v>70</v>
      </c>
      <c r="E1366" s="2" t="str">
        <f>HYPERLINK("https://ui.adsabs.harvard.edu/abs/2021arXiv210304687T/abstract","2021arXiv210304687T")</f>
        <v>2021arXiv210304687T</v>
      </c>
      <c r="G1366" s="1" t="s">
        <v>72</v>
      </c>
      <c r="H1366" s="1">
        <v>0.9961402</v>
      </c>
      <c r="I1366" s="1" t="s">
        <v>1041</v>
      </c>
    </row>
    <row r="1367">
      <c r="A1367" s="2" t="str">
        <f>HYPERLINK("https://ui.adsabs.harvard.edu/abs/2021Quant...5..611C/abstract","2021Quant...5..611C")</f>
        <v>2021Quant...5..611C</v>
      </c>
      <c r="B1367" s="2" t="str">
        <f>HYPERLINK("https://ui.adsabs.harvard.edu/abs/2021arXiv210100392C/abstract","2021arXiv210100392C")</f>
        <v>2021arXiv210100392C</v>
      </c>
      <c r="C1367" s="1" t="s">
        <v>70</v>
      </c>
      <c r="E1367" s="2" t="str">
        <f>HYPERLINK("https://ui.adsabs.harvard.edu/abs/2021arXiv210100392C/abstract","2021arXiv210100392C")</f>
        <v>2021arXiv210100392C</v>
      </c>
      <c r="G1367" s="1" t="s">
        <v>72</v>
      </c>
      <c r="H1367" s="1">
        <v>0.9961402</v>
      </c>
      <c r="I1367" s="1" t="s">
        <v>1041</v>
      </c>
    </row>
    <row r="1368">
      <c r="A1368" s="2" t="str">
        <f>HYPERLINK("https://ui.adsabs.harvard.edu/abs/2021Quant...5..612E/abstract","2021Quant...5..612E")</f>
        <v>2021Quant...5..612E</v>
      </c>
      <c r="B1368" s="2" t="str">
        <f>HYPERLINK("https://ui.adsabs.harvard.edu/abs/2020arXiv201013803E/abstract","2020arXiv201013803E")</f>
        <v>2020arXiv201013803E</v>
      </c>
      <c r="C1368" s="1" t="s">
        <v>70</v>
      </c>
      <c r="E1368" s="2" t="str">
        <f>HYPERLINK("https://ui.adsabs.harvard.edu/abs/2020arXiv201013803E/abstract","2020arXiv201013803E")</f>
        <v>2020arXiv201013803E</v>
      </c>
      <c r="G1368" s="1" t="s">
        <v>72</v>
      </c>
      <c r="H1368" s="1">
        <v>0.9961402</v>
      </c>
      <c r="I1368" s="1" t="s">
        <v>1041</v>
      </c>
    </row>
    <row r="1369">
      <c r="A1369" s="2" t="str">
        <f>HYPERLINK("https://ui.adsabs.harvard.edu/abs/2022Quant...6..617P/abstract","2022Quant...6..617P")</f>
        <v>2022Quant...6..617P</v>
      </c>
      <c r="B1369" s="2" t="str">
        <f>HYPERLINK("https://ui.adsabs.harvard.edu/abs/2021arXiv210501657P/abstract","2021arXiv210501657P")</f>
        <v>2021arXiv210501657P</v>
      </c>
      <c r="C1369" s="1" t="s">
        <v>70</v>
      </c>
      <c r="E1369" s="2" t="str">
        <f>HYPERLINK("https://ui.adsabs.harvard.edu/abs/2021arXiv210501657P/abstract","2021arXiv210501657P")</f>
        <v>2021arXiv210501657P</v>
      </c>
      <c r="G1369" s="1" t="s">
        <v>72</v>
      </c>
      <c r="H1369" s="1">
        <v>0.9961402</v>
      </c>
      <c r="I1369" s="1" t="s">
        <v>1041</v>
      </c>
    </row>
    <row r="1370">
      <c r="A1370" s="2" t="str">
        <f>HYPERLINK("https://ui.adsabs.harvard.edu/abs/2022Quant...6..619S/abstract","2022Quant...6..619S")</f>
        <v>2022Quant...6..619S</v>
      </c>
      <c r="B1370" s="2" t="str">
        <f>HYPERLINK("https://ui.adsabs.harvard.edu/abs/2021arXiv210100735S/abstract","2021arXiv210100735S")</f>
        <v>2021arXiv210100735S</v>
      </c>
      <c r="C1370" s="1" t="s">
        <v>70</v>
      </c>
      <c r="E1370" s="2" t="str">
        <f>HYPERLINK("https://ui.adsabs.harvard.edu/abs/2021arXiv210100735S/abstract","2021arXiv210100735S")</f>
        <v>2021arXiv210100735S</v>
      </c>
      <c r="G1370" s="1" t="s">
        <v>72</v>
      </c>
      <c r="H1370" s="1">
        <v>0.9961402</v>
      </c>
      <c r="I1370" s="1" t="s">
        <v>1041</v>
      </c>
    </row>
    <row r="1371">
      <c r="A1371" s="2" t="str">
        <f>HYPERLINK("https://ui.adsabs.harvard.edu/abs/2022Quant...6..623V/abstract","2022Quant...6..623V")</f>
        <v>2022Quant...6..623V</v>
      </c>
      <c r="B1371" s="2" t="str">
        <f>HYPERLINK("https://ui.adsabs.harvard.edu/abs/2021arXiv210402467V/abstract","2021arXiv210402467V")</f>
        <v>2021arXiv210402467V</v>
      </c>
      <c r="C1371" s="1" t="s">
        <v>70</v>
      </c>
      <c r="E1371" s="2" t="str">
        <f>HYPERLINK("https://ui.adsabs.harvard.edu/abs/2021arXiv210402467V/abstract","2021arXiv210402467V")</f>
        <v>2021arXiv210402467V</v>
      </c>
      <c r="G1371" s="1" t="s">
        <v>72</v>
      </c>
      <c r="H1371" s="1">
        <v>0.9961402</v>
      </c>
      <c r="I1371" s="1" t="s">
        <v>1041</v>
      </c>
    </row>
    <row r="1372">
      <c r="A1372" s="2" t="str">
        <f>HYPERLINK("https://ui.adsabs.harvard.edu/abs/2022Quant...6..624I/abstract","2022Quant...6..624I")</f>
        <v>2022Quant...6..624I</v>
      </c>
      <c r="B1372" s="2" t="str">
        <f>HYPERLINK("https://ui.adsabs.harvard.edu/abs/2021arXiv210608101I/abstract","2021arXiv210608101I")</f>
        <v>2021arXiv210608101I</v>
      </c>
      <c r="C1372" s="1" t="s">
        <v>70</v>
      </c>
      <c r="E1372" s="2" t="str">
        <f>HYPERLINK("https://ui.adsabs.harvard.edu/abs/2021arXiv210608101I/abstract","2021arXiv210608101I")</f>
        <v>2021arXiv210608101I</v>
      </c>
      <c r="G1372" s="1" t="s">
        <v>72</v>
      </c>
      <c r="H1372" s="1">
        <v>0.9961402</v>
      </c>
      <c r="I1372" s="1" t="s">
        <v>1041</v>
      </c>
    </row>
    <row r="1373">
      <c r="A1373" s="2" t="str">
        <f>HYPERLINK("https://ui.adsabs.harvard.edu/abs/2022Quant...6..629S/abstract","2022Quant...6..629S")</f>
        <v>2022Quant...6..629S</v>
      </c>
      <c r="B1373" s="2" t="str">
        <f>HYPERLINK("https://ui.adsabs.harvard.edu/abs/2021arXiv210415044S/abstract","2021arXiv210415044S")</f>
        <v>2021arXiv210415044S</v>
      </c>
      <c r="C1373" s="1" t="s">
        <v>70</v>
      </c>
      <c r="E1373" s="2" t="str">
        <f>HYPERLINK("https://ui.adsabs.harvard.edu/abs/2021arXiv210415044S/abstract","2021arXiv210415044S")</f>
        <v>2021arXiv210415044S</v>
      </c>
      <c r="G1373" s="1" t="s">
        <v>72</v>
      </c>
      <c r="H1373" s="1">
        <v>0.9961402</v>
      </c>
      <c r="I1373" s="1" t="s">
        <v>1041</v>
      </c>
    </row>
    <row r="1374">
      <c r="A1374" s="2" t="str">
        <f>HYPERLINK("https://ui.adsabs.harvard.edu/abs/2022Quant...6..630L/abstract","2022Quant...6..630L")</f>
        <v>2022Quant...6..630L</v>
      </c>
      <c r="B1374" s="2" t="str">
        <f>HYPERLINK("https://ui.adsabs.harvard.edu/abs/2021arXiv210509902L/abstract","2021arXiv210509902L")</f>
        <v>2021arXiv210509902L</v>
      </c>
      <c r="C1374" s="1" t="s">
        <v>70</v>
      </c>
      <c r="E1374" s="2" t="str">
        <f>HYPERLINK("https://ui.adsabs.harvard.edu/abs/2021arXiv210509902L/abstract","2021arXiv210509902L")</f>
        <v>2021arXiv210509902L</v>
      </c>
      <c r="G1374" s="1" t="s">
        <v>72</v>
      </c>
      <c r="H1374" s="1">
        <v>0.9961402</v>
      </c>
      <c r="I1374" s="1" t="s">
        <v>1041</v>
      </c>
    </row>
    <row r="1375">
      <c r="A1375" s="2" t="str">
        <f>HYPERLINK("https://ui.adsabs.harvard.edu/abs/2022Quant...6..631S/abstract","2022Quant...6..631S")</f>
        <v>2022Quant...6..631S</v>
      </c>
      <c r="B1375" s="2" t="str">
        <f>HYPERLINK("https://ui.adsabs.harvard.edu/abs/2021arXiv210309211S/abstract","2021arXiv210309211S")</f>
        <v>2021arXiv210309211S</v>
      </c>
      <c r="C1375" s="1" t="s">
        <v>70</v>
      </c>
      <c r="E1375" s="2" t="str">
        <f>HYPERLINK("https://ui.adsabs.harvard.edu/abs/2021arXiv210309211S/abstract","2021arXiv210309211S")</f>
        <v>2021arXiv210309211S</v>
      </c>
      <c r="G1375" s="1" t="s">
        <v>72</v>
      </c>
      <c r="H1375" s="1">
        <v>0.9961402</v>
      </c>
      <c r="I1375" s="1" t="s">
        <v>1041</v>
      </c>
    </row>
    <row r="1376">
      <c r="A1376" s="2" t="str">
        <f>HYPERLINK("https://ui.adsabs.harvard.edu/abs/2022Quant...6..634G/abstract","2022Quant...6..634G")</f>
        <v>2022Quant...6..634G</v>
      </c>
      <c r="B1376" s="2" t="str">
        <f>HYPERLINK("https://ui.adsabs.harvard.edu/abs/2021arXiv210707591G/abstract","2021arXiv210707591G")</f>
        <v>2021arXiv210707591G</v>
      </c>
      <c r="C1376" s="1" t="s">
        <v>70</v>
      </c>
      <c r="E1376" s="2" t="str">
        <f>HYPERLINK("https://ui.adsabs.harvard.edu/abs/2021arXiv210707591G/abstract","2021arXiv210707591G")</f>
        <v>2021arXiv210707591G</v>
      </c>
      <c r="G1376" s="1" t="s">
        <v>72</v>
      </c>
      <c r="H1376" s="1">
        <v>0.9961402</v>
      </c>
      <c r="I1376" s="1" t="s">
        <v>1041</v>
      </c>
    </row>
    <row r="1377">
      <c r="A1377" s="2" t="str">
        <f>HYPERLINK("https://ui.adsabs.harvard.edu/abs/2022Quant...6..635W/abstract","2022Quant...6..635W")</f>
        <v>2022Quant...6..635W</v>
      </c>
      <c r="B1377" s="2" t="str">
        <f>HYPERLINK("https://ui.adsabs.harvard.edu/abs/2021arXiv210615645W/abstract","2021arXiv210615645W")</f>
        <v>2021arXiv210615645W</v>
      </c>
      <c r="C1377" s="1" t="s">
        <v>70</v>
      </c>
      <c r="E1377" s="2" t="str">
        <f>HYPERLINK("https://ui.adsabs.harvard.edu/abs/2021arXiv210615645W/abstract","2021arXiv210615645W")</f>
        <v>2021arXiv210615645W</v>
      </c>
      <c r="G1377" s="1" t="s">
        <v>72</v>
      </c>
      <c r="H1377" s="1">
        <v>0.9961402</v>
      </c>
      <c r="I1377" s="1" t="s">
        <v>1041</v>
      </c>
    </row>
    <row r="1378">
      <c r="A1378" s="2" t="str">
        <f>HYPERLINK("https://ui.adsabs.harvard.edu/abs/2022Quant...6..638S/abstract","2022Quant...6..638S")</f>
        <v>2022Quant...6..638S</v>
      </c>
      <c r="B1378" s="2" t="str">
        <f>HYPERLINK("https://ui.adsabs.harvard.edu/abs/2021arXiv210705669S/abstract","2021arXiv210705669S")</f>
        <v>2021arXiv210705669S</v>
      </c>
      <c r="C1378" s="1" t="s">
        <v>70</v>
      </c>
      <c r="E1378" s="2" t="str">
        <f>HYPERLINK("https://ui.adsabs.harvard.edu/abs/2021arXiv210705669S/abstract","2021arXiv210705669S")</f>
        <v>2021arXiv210705669S</v>
      </c>
      <c r="G1378" s="1" t="s">
        <v>72</v>
      </c>
      <c r="H1378" s="1">
        <v>0.9961402</v>
      </c>
      <c r="I1378" s="1" t="s">
        <v>1041</v>
      </c>
    </row>
    <row r="1379">
      <c r="A1379" s="2" t="str">
        <f>HYPERLINK("https://ui.adsabs.harvard.edu/abs/2022Quant...6..639Z/abstract","2022Quant...6..639Z")</f>
        <v>2022Quant...6..639Z</v>
      </c>
      <c r="B1379" s="2" t="str">
        <f>HYPERLINK("https://ui.adsabs.harvard.edu/abs/2021arXiv210307586Z/abstract","2021arXiv210307586Z")</f>
        <v>2021arXiv210307586Z</v>
      </c>
      <c r="C1379" s="1" t="s">
        <v>70</v>
      </c>
      <c r="E1379" s="2" t="str">
        <f>HYPERLINK("https://ui.adsabs.harvard.edu/abs/2021arXiv210307586Z/abstract","2021arXiv210307586Z")</f>
        <v>2021arXiv210307586Z</v>
      </c>
      <c r="G1379" s="1" t="s">
        <v>72</v>
      </c>
      <c r="H1379" s="1">
        <v>0.9961402</v>
      </c>
      <c r="I1379" s="1" t="s">
        <v>1041</v>
      </c>
    </row>
    <row r="1380">
      <c r="A1380" s="2" t="str">
        <f>HYPERLINK("https://ui.adsabs.harvard.edu/abs/2022Quant...6..640G/abstract","2022Quant...6..640G")</f>
        <v>2022Quant...6..640G</v>
      </c>
      <c r="B1380" s="2" t="str">
        <f>HYPERLINK("https://ui.adsabs.harvard.edu/abs/2021arXiv210205174G/abstract","2021arXiv210205174G")</f>
        <v>2021arXiv210205174G</v>
      </c>
      <c r="C1380" s="1" t="s">
        <v>70</v>
      </c>
      <c r="E1380" s="2" t="str">
        <f>HYPERLINK("https://ui.adsabs.harvard.edu/abs/2021arXiv210205174G/abstract","2021arXiv210205174G")</f>
        <v>2021arXiv210205174G</v>
      </c>
      <c r="G1380" s="1" t="s">
        <v>72</v>
      </c>
      <c r="H1380" s="1">
        <v>0.9961402</v>
      </c>
      <c r="I1380" s="1" t="s">
        <v>1041</v>
      </c>
    </row>
    <row r="1381">
      <c r="A1381" s="2" t="str">
        <f>HYPERLINK("https://ui.adsabs.harvard.edu/abs/2022Quant...6..641V/abstract","2022Quant...6..641V")</f>
        <v>2022Quant...6..641V</v>
      </c>
      <c r="B1381" s="2" t="str">
        <f>HYPERLINK("https://ui.adsabs.harvard.edu/abs/2021arXiv211012527V/abstract","2021arXiv211012527V")</f>
        <v>2021arXiv211012527V</v>
      </c>
      <c r="C1381" s="1" t="s">
        <v>70</v>
      </c>
      <c r="E1381" s="2" t="str">
        <f>HYPERLINK("https://ui.adsabs.harvard.edu/abs/2021arXiv211012527V/abstract","2021arXiv211012527V")</f>
        <v>2021arXiv211012527V</v>
      </c>
      <c r="G1381" s="1" t="s">
        <v>72</v>
      </c>
      <c r="H1381" s="1">
        <v>0.9961402</v>
      </c>
      <c r="I1381" s="1" t="s">
        <v>1041</v>
      </c>
    </row>
    <row r="1382">
      <c r="A1382" s="2" t="str">
        <f>HYPERLINK("https://ui.adsabs.harvard.edu/abs/2022Quant...6..644P/abstract","2022Quant...6..644P")</f>
        <v>2022Quant...6..644P</v>
      </c>
      <c r="B1382" s="2" t="str">
        <f>HYPERLINK("https://ui.adsabs.harvard.edu/abs/2021arXiv210706894P/abstract","2021arXiv210706894P")</f>
        <v>2021arXiv210706894P</v>
      </c>
      <c r="C1382" s="1" t="s">
        <v>70</v>
      </c>
      <c r="E1382" s="2" t="str">
        <f>HYPERLINK("https://ui.adsabs.harvard.edu/abs/2021arXiv210706894P/abstract","2021arXiv210706894P")</f>
        <v>2021arXiv210706894P</v>
      </c>
      <c r="G1382" s="1" t="s">
        <v>72</v>
      </c>
      <c r="H1382" s="1">
        <v>0.9961402</v>
      </c>
      <c r="I1382" s="1" t="s">
        <v>1041</v>
      </c>
    </row>
    <row r="1383">
      <c r="A1383" s="2" t="str">
        <f>HYPERLINK("https://ui.adsabs.harvard.edu/abs/2022Quant...6..648C/abstract","2022Quant...6..648C")</f>
        <v>2022Quant...6..648C</v>
      </c>
      <c r="B1383" s="2" t="str">
        <f>HYPERLINK("https://ui.adsabs.harvard.edu/abs/2021arXiv210914645C/abstract","2021arXiv210914645C")</f>
        <v>2021arXiv210914645C</v>
      </c>
      <c r="C1383" s="1" t="s">
        <v>70</v>
      </c>
      <c r="E1383" s="2" t="str">
        <f>HYPERLINK("https://ui.adsabs.harvard.edu/abs/2021arXiv210914645C/abstract","2021arXiv210914645C")</f>
        <v>2021arXiv210914645C</v>
      </c>
      <c r="G1383" s="1" t="s">
        <v>72</v>
      </c>
      <c r="H1383" s="1">
        <v>0.9961402</v>
      </c>
      <c r="I1383" s="1" t="s">
        <v>1041</v>
      </c>
    </row>
    <row r="1384">
      <c r="A1384" s="2" t="str">
        <f>HYPERLINK("https://ui.adsabs.harvard.edu/abs/2022Quant...6..649M/abstract","2022Quant...6..649M")</f>
        <v>2022Quant...6..649M</v>
      </c>
      <c r="B1384" s="2" t="str">
        <f>HYPERLINK("https://ui.adsabs.harvard.edu/abs/2021arXiv210901648M/abstract","2021arXiv210901648M")</f>
        <v>2021arXiv210901648M</v>
      </c>
      <c r="C1384" s="1" t="s">
        <v>70</v>
      </c>
      <c r="E1384" s="2" t="str">
        <f>HYPERLINK("https://ui.adsabs.harvard.edu/abs/2021arXiv210901648M/abstract","2021arXiv210901648M")</f>
        <v>2021arXiv210901648M</v>
      </c>
      <c r="G1384" s="1" t="s">
        <v>72</v>
      </c>
      <c r="H1384" s="1">
        <v>0.9961402</v>
      </c>
      <c r="I1384" s="1" t="s">
        <v>1041</v>
      </c>
    </row>
    <row r="1385">
      <c r="A1385" s="2" t="str">
        <f>HYPERLINK("https://ui.adsabs.harvard.edu/abs/2022Quant...6..650B/abstract","2022Quant...6..650B")</f>
        <v>2022Quant...6..650B</v>
      </c>
      <c r="B1385" s="2" t="str">
        <f>HYPERLINK("https://ui.adsabs.harvard.edu/abs/2021arXiv210404419B/abstract","2021arXiv210404419B")</f>
        <v>2021arXiv210404419B</v>
      </c>
      <c r="C1385" s="1" t="s">
        <v>70</v>
      </c>
      <c r="E1385" s="2" t="str">
        <f>HYPERLINK("https://ui.adsabs.harvard.edu/abs/2021arXiv210404419B/abstract","2021arXiv210404419B")</f>
        <v>2021arXiv210404419B</v>
      </c>
      <c r="G1385" s="1" t="s">
        <v>72</v>
      </c>
      <c r="H1385" s="1">
        <v>0.9961402</v>
      </c>
      <c r="I1385" s="1" t="s">
        <v>1041</v>
      </c>
    </row>
    <row r="1386">
      <c r="A1386" s="2" t="str">
        <f>HYPERLINK("https://ui.adsabs.harvard.edu/abs/2022Quant...6..651F/abstract","2022Quant...6..651F")</f>
        <v>2022Quant...6..651F</v>
      </c>
      <c r="B1386" s="2" t="str">
        <f>HYPERLINK("https://ui.adsabs.harvard.edu/abs/2021arXiv210712944F/abstract","2021arXiv210712944F")</f>
        <v>2021arXiv210712944F</v>
      </c>
      <c r="C1386" s="1" t="s">
        <v>70</v>
      </c>
      <c r="E1386" s="2" t="str">
        <f>HYPERLINK("https://ui.adsabs.harvard.edu/abs/2021arXiv210712944F/abstract","2021arXiv210712944F")</f>
        <v>2021arXiv210712944F</v>
      </c>
      <c r="G1386" s="1" t="s">
        <v>72</v>
      </c>
      <c r="H1386" s="1">
        <v>0.9961402</v>
      </c>
      <c r="I1386" s="1" t="s">
        <v>1041</v>
      </c>
    </row>
    <row r="1387">
      <c r="A1387" s="2" t="str">
        <f>HYPERLINK("https://ui.adsabs.harvard.edu/abs/2022Quant...6..654G/abstract","2022Quant...6..654G")</f>
        <v>2022Quant...6..654G</v>
      </c>
      <c r="B1387" s="2" t="str">
        <f>HYPERLINK("https://ui.adsabs.harvard.edu/abs/2021arXiv211111887G/abstract","2021arXiv211111887G")</f>
        <v>2021arXiv211111887G</v>
      </c>
      <c r="C1387" s="1" t="s">
        <v>70</v>
      </c>
      <c r="E1387" s="2" t="str">
        <f>HYPERLINK("https://ui.adsabs.harvard.edu/abs/2021arXiv211111887G/abstract","2021arXiv211111887G")</f>
        <v>2021arXiv211111887G</v>
      </c>
      <c r="G1387" s="1" t="s">
        <v>72</v>
      </c>
      <c r="H1387" s="1">
        <v>0.9961402</v>
      </c>
      <c r="I1387" s="1" t="s">
        <v>1041</v>
      </c>
    </row>
    <row r="1388">
      <c r="A1388" s="2" t="str">
        <f>HYPERLINK("https://ui.adsabs.harvard.edu/abs/2022Quant...6..655W/abstract","2022Quant...6..655W")</f>
        <v>2022Quant...6..655W</v>
      </c>
      <c r="E1388" s="2" t="str">
        <f>HYPERLINK("https://ui.adsabs.harvard.edu/abs/2021arXiv210505892W/abstract","2021arXiv210505892W")</f>
        <v>2021arXiv210505892W</v>
      </c>
      <c r="G1388" s="1" t="s">
        <v>72</v>
      </c>
      <c r="H1388" s="1">
        <v>0.9961402</v>
      </c>
      <c r="I1388" s="1" t="s">
        <v>1041</v>
      </c>
    </row>
    <row r="1389">
      <c r="A1389" s="2" t="str">
        <f>HYPERLINK("https://ui.adsabs.harvard.edu/abs/2022Quant...6..656B/abstract","2022Quant...6..656B")</f>
        <v>2022Quant...6..656B</v>
      </c>
      <c r="B1389" s="2" t="str">
        <f>HYPERLINK("https://ui.adsabs.harvard.edu/abs/2021arXiv210511302B/abstract","2021arXiv210511302B")</f>
        <v>2021arXiv210511302B</v>
      </c>
      <c r="C1389" s="1" t="s">
        <v>70</v>
      </c>
      <c r="E1389" s="2" t="str">
        <f>HYPERLINK("https://ui.adsabs.harvard.edu/abs/2021arXiv210511302B/abstract","2021arXiv210511302B")</f>
        <v>2021arXiv210511302B</v>
      </c>
      <c r="G1389" s="1" t="s">
        <v>72</v>
      </c>
      <c r="H1389" s="1">
        <v>0.9961402</v>
      </c>
      <c r="I1389" s="1" t="s">
        <v>1041</v>
      </c>
    </row>
    <row r="1390">
      <c r="A1390" s="2" t="str">
        <f>HYPERLINK("https://ui.adsabs.harvard.edu/abs/2022Quant...6..658S/abstract","2022Quant...6..658S")</f>
        <v>2022Quant...6..658S</v>
      </c>
      <c r="B1390" s="2" t="str">
        <f>HYPERLINK("https://ui.adsabs.harvard.edu/abs/2021arXiv210702127S/abstract","2021arXiv210702127S")</f>
        <v>2021arXiv210702127S</v>
      </c>
      <c r="C1390" s="1" t="s">
        <v>70</v>
      </c>
      <c r="E1390" s="2" t="str">
        <f>HYPERLINK("https://ui.adsabs.harvard.edu/abs/2021arXiv210702127S/abstract","2021arXiv210702127S")</f>
        <v>2021arXiv210702127S</v>
      </c>
      <c r="G1390" s="1" t="s">
        <v>72</v>
      </c>
      <c r="H1390" s="1">
        <v>0.9961402</v>
      </c>
      <c r="I1390" s="1" t="s">
        <v>1041</v>
      </c>
    </row>
    <row r="1391">
      <c r="A1391" s="2" t="str">
        <f>HYPERLINK("https://ui.adsabs.harvard.edu/abs/2022Quant...6..659B/abstract","2022Quant...6..659B")</f>
        <v>2022Quant...6..659B</v>
      </c>
      <c r="B1391" s="2" t="str">
        <f>HYPERLINK("https://ui.adsabs.harvard.edu/abs/2021arXiv210702728B/abstract","2021arXiv210702728B")</f>
        <v>2021arXiv210702728B</v>
      </c>
      <c r="C1391" s="1" t="s">
        <v>70</v>
      </c>
      <c r="E1391" s="2" t="str">
        <f>HYPERLINK("https://ui.adsabs.harvard.edu/abs/2021arXiv210702728B/abstract","2021arXiv210702728B")</f>
        <v>2021arXiv210702728B</v>
      </c>
      <c r="G1391" s="1" t="s">
        <v>72</v>
      </c>
      <c r="H1391" s="1">
        <v>0.9961402</v>
      </c>
      <c r="I1391" s="1" t="s">
        <v>1041</v>
      </c>
    </row>
    <row r="1392">
      <c r="A1392" s="2" t="str">
        <f>HYPERLINK("https://ui.adsabs.harvard.edu/abs/2022Quant...6..660V/abstract","2022Quant...6..660V")</f>
        <v>2022Quant...6..660V</v>
      </c>
      <c r="B1392" s="2" t="str">
        <f>HYPERLINK("https://ui.adsabs.harvard.edu/abs/2021arXiv210802038V/abstract","2021arXiv210802038V")</f>
        <v>2021arXiv210802038V</v>
      </c>
      <c r="C1392" s="1" t="s">
        <v>70</v>
      </c>
      <c r="E1392" s="2" t="str">
        <f>HYPERLINK("https://ui.adsabs.harvard.edu/abs/2021arXiv210802038V/abstract","2021arXiv210802038V")</f>
        <v>2021arXiv210802038V</v>
      </c>
      <c r="G1392" s="1" t="s">
        <v>72</v>
      </c>
      <c r="H1392" s="1">
        <v>0.9961402</v>
      </c>
      <c r="I1392" s="1" t="s">
        <v>1041</v>
      </c>
    </row>
    <row r="1393">
      <c r="A1393" s="2" t="str">
        <f>HYPERLINK("https://ui.adsabs.harvard.edu/abs/2022Quant...6..662F/abstract","2022Quant...6..662F")</f>
        <v>2022Quant...6..662F</v>
      </c>
      <c r="B1393" s="2" t="str">
        <f>HYPERLINK("https://ui.adsabs.harvard.edu/abs/2021arXiv210308567F/abstract","2021arXiv210308567F")</f>
        <v>2021arXiv210308567F</v>
      </c>
      <c r="C1393" s="1" t="s">
        <v>70</v>
      </c>
      <c r="E1393" s="2" t="str">
        <f>HYPERLINK("https://ui.adsabs.harvard.edu/abs/2021arXiv210308567F/abstract","2021arXiv210308567F")</f>
        <v>2021arXiv210308567F</v>
      </c>
      <c r="G1393" s="1" t="s">
        <v>72</v>
      </c>
      <c r="H1393" s="1">
        <v>0.9961402</v>
      </c>
      <c r="I1393" s="1" t="s">
        <v>1041</v>
      </c>
    </row>
    <row r="1394">
      <c r="A1394" s="2" t="str">
        <f>HYPERLINK("https://ui.adsabs.harvard.edu/abs/2022Quant...6..664K/abstract","2022Quant...6..664K")</f>
        <v>2022Quant...6..664K</v>
      </c>
      <c r="B1394" s="2" t="str">
        <f>HYPERLINK("https://ui.adsabs.harvard.edu/abs/2021arXiv210111412K/abstract","2021arXiv210111412K")</f>
        <v>2021arXiv210111412K</v>
      </c>
      <c r="C1394" s="1" t="s">
        <v>70</v>
      </c>
      <c r="E1394" s="2" t="str">
        <f>HYPERLINK("https://ui.adsabs.harvard.edu/abs/2021arXiv210111412K/abstract","2021arXiv210111412K")</f>
        <v>2021arXiv210111412K</v>
      </c>
      <c r="G1394" s="1" t="s">
        <v>72</v>
      </c>
      <c r="H1394" s="1">
        <v>0.9961402</v>
      </c>
      <c r="I1394" s="1" t="s">
        <v>1041</v>
      </c>
    </row>
    <row r="1395">
      <c r="A1395" s="2" t="str">
        <f>HYPERLINK("https://ui.adsabs.harvard.edu/abs/2022Quant...6..666Z/abstract","2022Quant...6..666Z")</f>
        <v>2022Quant...6..666Z</v>
      </c>
      <c r="B1395" s="2" t="str">
        <f>HYPERLINK("https://ui.adsabs.harvard.edu/abs/2021arXiv210701102Z/abstract","2021arXiv210701102Z")</f>
        <v>2021arXiv210701102Z</v>
      </c>
      <c r="C1395" s="1" t="s">
        <v>70</v>
      </c>
      <c r="E1395" s="2" t="str">
        <f>HYPERLINK("https://ui.adsabs.harvard.edu/abs/2021arXiv210701102Z/abstract","2021arXiv210701102Z")</f>
        <v>2021arXiv210701102Z</v>
      </c>
      <c r="G1395" s="1" t="s">
        <v>72</v>
      </c>
      <c r="H1395" s="1">
        <v>0.9961402</v>
      </c>
      <c r="I1395" s="1" t="s">
        <v>1041</v>
      </c>
    </row>
    <row r="1396">
      <c r="A1396" s="2" t="str">
        <f>HYPERLINK("https://ui.adsabs.harvard.edu/abs/2022Quant...6..667D/abstract","2022Quant...6..667D")</f>
        <v>2022Quant...6..667D</v>
      </c>
      <c r="B1396" s="2" t="str">
        <f>HYPERLINK("https://ui.adsabs.harvard.edu/abs/2021arXiv210513233D/abstract","2021arXiv210513233D")</f>
        <v>2021arXiv210513233D</v>
      </c>
      <c r="C1396" s="1" t="s">
        <v>70</v>
      </c>
      <c r="E1396" s="2" t="str">
        <f>HYPERLINK("https://ui.adsabs.harvard.edu/abs/2021arXiv210513233D/abstract","2021arXiv210513233D")</f>
        <v>2021arXiv210513233D</v>
      </c>
      <c r="G1396" s="1" t="s">
        <v>72</v>
      </c>
      <c r="H1396" s="1">
        <v>0.9961402</v>
      </c>
      <c r="I1396" s="1" t="s">
        <v>1041</v>
      </c>
    </row>
    <row r="1397">
      <c r="A1397" s="2" t="str">
        <f>HYPERLINK("https://ui.adsabs.harvard.edu/abs/2022Quant...6..670P/abstract","2022Quant...6..670P")</f>
        <v>2022Quant...6..670P</v>
      </c>
      <c r="B1397" s="2" t="str">
        <f>HYPERLINK("https://ui.adsabs.harvard.edu/abs/2021arXiv210903687P/abstract","2021arXiv210903687P")</f>
        <v>2021arXiv210903687P</v>
      </c>
      <c r="C1397" s="1" t="s">
        <v>70</v>
      </c>
      <c r="E1397" s="2" t="str">
        <f>HYPERLINK("https://ui.adsabs.harvard.edu/abs/2021arXiv210903687P/abstract","2021arXiv210903687P")</f>
        <v>2021arXiv210903687P</v>
      </c>
      <c r="G1397" s="1" t="s">
        <v>72</v>
      </c>
      <c r="H1397" s="1">
        <v>0.9961402</v>
      </c>
      <c r="I1397" s="1" t="s">
        <v>1041</v>
      </c>
    </row>
    <row r="1398">
      <c r="A1398" s="2" t="str">
        <f>HYPERLINK("https://ui.adsabs.harvard.edu/abs/2022Quant...6..671C/abstract","2022Quant...6..671C")</f>
        <v>2022Quant...6..671C</v>
      </c>
      <c r="B1398" s="2" t="str">
        <f>HYPERLINK("https://ui.adsabs.harvard.edu/abs/2021arXiv210408216C/abstract","2021arXiv210408216C")</f>
        <v>2021arXiv210408216C</v>
      </c>
      <c r="C1398" s="1" t="s">
        <v>70</v>
      </c>
      <c r="E1398" s="2" t="str">
        <f>HYPERLINK("https://ui.adsabs.harvard.edu/abs/2021arXiv210408216C/abstract","2021arXiv210408216C")</f>
        <v>2021arXiv210408216C</v>
      </c>
      <c r="G1398" s="1" t="s">
        <v>72</v>
      </c>
      <c r="H1398" s="1">
        <v>0.9961402</v>
      </c>
      <c r="I1398" s="1" t="s">
        <v>1041</v>
      </c>
    </row>
    <row r="1399">
      <c r="A1399" s="2" t="str">
        <f>HYPERLINK("https://ui.adsabs.harvard.edu/abs/2022Quant...6..672B/abstract","2022Quant...6..672B")</f>
        <v>2022Quant...6..672B</v>
      </c>
      <c r="B1399" s="2" t="str">
        <f>HYPERLINK("https://ui.adsabs.harvard.edu/abs/2021arXiv210611928B/abstract","2021arXiv210611928B")</f>
        <v>2021arXiv210611928B</v>
      </c>
      <c r="C1399" s="1" t="s">
        <v>70</v>
      </c>
      <c r="E1399" s="2" t="str">
        <f>HYPERLINK("https://ui.adsabs.harvard.edu/abs/2021arXiv210611928B/abstract","2021arXiv210611928B")</f>
        <v>2021arXiv210611928B</v>
      </c>
      <c r="G1399" s="1" t="s">
        <v>72</v>
      </c>
      <c r="H1399" s="1">
        <v>0.9961402</v>
      </c>
      <c r="I1399" s="1" t="s">
        <v>1041</v>
      </c>
    </row>
    <row r="1400">
      <c r="A1400" s="2" t="str">
        <f>HYPERLINK("https://ui.adsabs.harvard.edu/abs/2022Quant...6..676H/abstract","2022Quant...6..676H")</f>
        <v>2022Quant...6..676H</v>
      </c>
      <c r="B1400" s="2" t="str">
        <f>HYPERLINK("https://ui.adsabs.harvard.edu/abs/2021arXiv210813207H/abstract","2021arXiv210813207H")</f>
        <v>2021arXiv210813207H</v>
      </c>
      <c r="C1400" s="1" t="s">
        <v>70</v>
      </c>
      <c r="E1400" s="2" t="str">
        <f>HYPERLINK("https://ui.adsabs.harvard.edu/abs/2021arXiv210813207H/abstract","2021arXiv210813207H")</f>
        <v>2021arXiv210813207H</v>
      </c>
      <c r="G1400" s="1" t="s">
        <v>72</v>
      </c>
      <c r="H1400" s="1">
        <v>0.9961402</v>
      </c>
      <c r="I1400" s="1" t="s">
        <v>1041</v>
      </c>
    </row>
    <row r="1401">
      <c r="A1401" s="2" t="str">
        <f>HYPERLINK("https://ui.adsabs.harvard.edu/abs/2022Quant...6..683P/abstract","2022Quant...6..683P")</f>
        <v>2022Quant...6..683P</v>
      </c>
      <c r="B1401" s="2" t="str">
        <f>HYPERLINK("https://ui.adsabs.harvard.edu/abs/2021arXiv210600523P/abstract","2021arXiv210600523P")</f>
        <v>2021arXiv210600523P</v>
      </c>
      <c r="C1401" s="1" t="s">
        <v>70</v>
      </c>
      <c r="E1401" s="2" t="str">
        <f>HYPERLINK("https://ui.adsabs.harvard.edu/abs/2021arXiv210600523P/abstract","2021arXiv210600523P")</f>
        <v>2021arXiv210600523P</v>
      </c>
      <c r="G1401" s="1" t="s">
        <v>72</v>
      </c>
      <c r="H1401" s="1">
        <v>0.9961402</v>
      </c>
      <c r="I1401" s="1" t="s">
        <v>1041</v>
      </c>
    </row>
    <row r="1402">
      <c r="A1402" s="2" t="str">
        <f>HYPERLINK("https://ui.adsabs.harvard.edu/abs/2022Quant...6..685K/abstract","2022Quant...6..685K")</f>
        <v>2022Quant...6..685K</v>
      </c>
      <c r="B1402" s="2" t="str">
        <f>HYPERLINK("https://ui.adsabs.harvard.edu/abs/2021arXiv210901998K/abstract","2021arXiv210901998K")</f>
        <v>2021arXiv210901998K</v>
      </c>
      <c r="C1402" s="1" t="s">
        <v>70</v>
      </c>
      <c r="E1402" s="2" t="str">
        <f>HYPERLINK("https://ui.adsabs.harvard.edu/abs/2021arXiv210901998K/abstract","2021arXiv210901998K")</f>
        <v>2021arXiv210901998K</v>
      </c>
      <c r="G1402" s="1" t="s">
        <v>72</v>
      </c>
      <c r="H1402" s="1">
        <v>0.9961402</v>
      </c>
      <c r="I1402" s="1" t="s">
        <v>1041</v>
      </c>
    </row>
    <row r="1403">
      <c r="A1403" s="2" t="str">
        <f>HYPERLINK("https://ui.adsabs.harvard.edu/abs/2022Quant...6..693H/abstract","2022Quant...6..693H")</f>
        <v>2022Quant...6..693H</v>
      </c>
      <c r="B1403" s="2" t="str">
        <f>HYPERLINK("https://ui.adsabs.harvard.edu/abs/2021arXiv211009545H/abstract","2021arXiv211009545H")</f>
        <v>2021arXiv211009545H</v>
      </c>
      <c r="C1403" s="1" t="s">
        <v>70</v>
      </c>
      <c r="E1403" s="2" t="str">
        <f>HYPERLINK("https://ui.adsabs.harvard.edu/abs/2021arXiv211009545H/abstract","2021arXiv211009545H")</f>
        <v>2021arXiv211009545H</v>
      </c>
      <c r="G1403" s="1" t="s">
        <v>72</v>
      </c>
      <c r="H1403" s="1">
        <v>0.9961402</v>
      </c>
      <c r="I1403" s="1" t="s">
        <v>1041</v>
      </c>
    </row>
    <row r="1404">
      <c r="A1404" s="2" t="str">
        <f>HYPERLINK("https://ui.adsabs.harvard.edu/abs/2022Quant...6..695Y/abstract","2022Quant...6..695Y")</f>
        <v>2022Quant...6..695Y</v>
      </c>
      <c r="B1404" s="2" t="str">
        <f>HYPERLINK("https://ui.adsabs.harvard.edu/abs/2021arXiv210601372Y/abstract","2021arXiv210601372Y")</f>
        <v>2021arXiv210601372Y</v>
      </c>
      <c r="C1404" s="1" t="s">
        <v>70</v>
      </c>
      <c r="E1404" s="2" t="str">
        <f>HYPERLINK("https://ui.adsabs.harvard.edu/abs/2021arXiv210601372Y/abstract","2021arXiv210601372Y")</f>
        <v>2021arXiv210601372Y</v>
      </c>
      <c r="G1404" s="1" t="s">
        <v>72</v>
      </c>
      <c r="H1404" s="1">
        <v>0.9961402</v>
      </c>
      <c r="I1404" s="1" t="s">
        <v>1041</v>
      </c>
    </row>
    <row r="1405">
      <c r="A1405" s="2" t="str">
        <f>HYPERLINK("https://ui.adsabs.harvard.edu/abs/2022Quant...6..696P/abstract","2022Quant...6..696P")</f>
        <v>2022Quant...6..696P</v>
      </c>
      <c r="B1405" s="2" t="str">
        <f>HYPERLINK("https://ui.adsabs.harvard.edu/abs/2021arXiv211102535P/abstract","2021arXiv211102535P")</f>
        <v>2021arXiv211102535P</v>
      </c>
      <c r="C1405" s="1" t="s">
        <v>70</v>
      </c>
      <c r="E1405" s="2" t="str">
        <f>HYPERLINK("https://ui.adsabs.harvard.edu/abs/2021arXiv211102535P/abstract","2021arXiv211102535P")</f>
        <v>2021arXiv211102535P</v>
      </c>
      <c r="G1405" s="1" t="s">
        <v>72</v>
      </c>
      <c r="H1405" s="1">
        <v>0.9961402</v>
      </c>
      <c r="I1405" s="1" t="s">
        <v>1041</v>
      </c>
    </row>
    <row r="1406">
      <c r="A1406" s="2" t="str">
        <f>HYPERLINK("https://ui.adsabs.harvard.edu/abs/2022Quant...6..700G/abstract","2022Quant...6..700G")</f>
        <v>2022Quant...6..700G</v>
      </c>
      <c r="B1406" s="2" t="str">
        <f>HYPERLINK("https://ui.adsabs.harvard.edu/abs/2021arXiv211004048G/abstract","2021arXiv211004048G")</f>
        <v>2021arXiv211004048G</v>
      </c>
      <c r="C1406" s="1" t="s">
        <v>70</v>
      </c>
      <c r="E1406" s="2" t="str">
        <f>HYPERLINK("https://ui.adsabs.harvard.edu/abs/2021arXiv211004048G/abstract","2021arXiv211004048G")</f>
        <v>2021arXiv211004048G</v>
      </c>
      <c r="G1406" s="1" t="s">
        <v>72</v>
      </c>
      <c r="H1406" s="1">
        <v>0.9961402</v>
      </c>
      <c r="I1406" s="1" t="s">
        <v>1041</v>
      </c>
    </row>
    <row r="1407">
      <c r="A1407" s="2" t="str">
        <f>HYPERLINK("https://ui.adsabs.harvard.edu/abs/2022Quant...6..701K/abstract","2022Quant...6..701K")</f>
        <v>2022Quant...6..701K</v>
      </c>
      <c r="B1407" s="2" t="str">
        <f>HYPERLINK("https://ui.adsabs.harvard.edu/abs/2021arXiv210809866K/abstract","2021arXiv210809866K")</f>
        <v>2021arXiv210809866K</v>
      </c>
      <c r="C1407" s="1" t="s">
        <v>70</v>
      </c>
      <c r="E1407" s="2" t="str">
        <f>HYPERLINK("https://ui.adsabs.harvard.edu/abs/2021arXiv210809866K/abstract","2021arXiv210809866K")</f>
        <v>2021arXiv210809866K</v>
      </c>
      <c r="G1407" s="1" t="s">
        <v>72</v>
      </c>
      <c r="H1407" s="1">
        <v>0.9961402</v>
      </c>
      <c r="I1407" s="1" t="s">
        <v>1041</v>
      </c>
    </row>
    <row r="1408">
      <c r="A1408" s="2" t="str">
        <f>HYPERLINK("https://ui.adsabs.harvard.edu/abs/2022Quant...6..702Z/abstract","2022Quant...6..702Z")</f>
        <v>2022Quant...6..702Z</v>
      </c>
      <c r="B1408" s="2" t="str">
        <f>HYPERLINK("https://ui.adsabs.harvard.edu/abs/2021arXiv211003913Z/abstract","2021arXiv211003913Z")</f>
        <v>2021arXiv211003913Z</v>
      </c>
      <c r="C1408" s="1" t="s">
        <v>70</v>
      </c>
      <c r="E1408" s="2" t="str">
        <f>HYPERLINK("https://ui.adsabs.harvard.edu/abs/2021arXiv211003913Z/abstract","2021arXiv211003913Z")</f>
        <v>2021arXiv211003913Z</v>
      </c>
      <c r="G1408" s="1" t="s">
        <v>72</v>
      </c>
      <c r="H1408" s="1">
        <v>0.9961402</v>
      </c>
      <c r="I1408" s="1" t="s">
        <v>1041</v>
      </c>
    </row>
    <row r="1409">
      <c r="A1409" s="2" t="str">
        <f>HYPERLINK("https://ui.adsabs.harvard.edu/abs/2022Quant...6..703F/abstract","2022Quant...6..703F")</f>
        <v>2022Quant...6..703F</v>
      </c>
      <c r="B1409" s="2" t="str">
        <f>HYPERLINK("https://ui.adsabs.harvard.edu/abs/2021arXiv210912652F/abstract","2021arXiv210912652F")</f>
        <v>2021arXiv210912652F</v>
      </c>
      <c r="C1409" s="1" t="s">
        <v>70</v>
      </c>
      <c r="E1409" s="2" t="str">
        <f>HYPERLINK("https://ui.adsabs.harvard.edu/abs/2021arXiv210912652F/abstract","2021arXiv210912652F")</f>
        <v>2021arXiv210912652F</v>
      </c>
      <c r="G1409" s="1" t="s">
        <v>72</v>
      </c>
      <c r="H1409" s="1">
        <v>0.9961402</v>
      </c>
      <c r="I1409" s="1" t="s">
        <v>1041</v>
      </c>
    </row>
    <row r="1410">
      <c r="A1410" s="2" t="str">
        <f>HYPERLINK("https://ui.adsabs.harvard.edu/abs/2022Quant...6..705G/abstract","2022Quant...6..705G")</f>
        <v>2022Quant...6..705G</v>
      </c>
      <c r="B1410" s="2" t="str">
        <f>HYPERLINK("https://ui.adsabs.harvard.edu/abs/2022arXiv220302436G/abstract","2022arXiv220302436G")</f>
        <v>2022arXiv220302436G</v>
      </c>
      <c r="C1410" s="1" t="s">
        <v>70</v>
      </c>
      <c r="E1410" s="2" t="str">
        <f>HYPERLINK("https://ui.adsabs.harvard.edu/abs/2022arXiv220302436G/abstract","2022arXiv220302436G")</f>
        <v>2022arXiv220302436G</v>
      </c>
      <c r="G1410" s="1" t="s">
        <v>72</v>
      </c>
      <c r="H1410" s="1">
        <v>0.9961402</v>
      </c>
      <c r="I1410" s="1" t="s">
        <v>1041</v>
      </c>
    </row>
    <row r="1411">
      <c r="A1411" s="2" t="str">
        <f>HYPERLINK("https://ui.adsabs.harvard.edu/abs/2022Quant...6..707B/abstract","2022Quant...6..707B")</f>
        <v>2022Quant...6..707B</v>
      </c>
      <c r="B1411" s="2" t="str">
        <f>HYPERLINK("https://ui.adsabs.harvard.edu/abs/2021arXiv211014808B/abstract","2021arXiv211014808B")</f>
        <v>2021arXiv211014808B</v>
      </c>
      <c r="C1411" s="1" t="s">
        <v>70</v>
      </c>
      <c r="E1411" s="2" t="str">
        <f>HYPERLINK("https://ui.adsabs.harvard.edu/abs/2021arXiv211014808B/abstract","2021arXiv211014808B")</f>
        <v>2021arXiv211014808B</v>
      </c>
      <c r="G1411" s="1" t="s">
        <v>72</v>
      </c>
      <c r="H1411" s="1">
        <v>0.9961402</v>
      </c>
      <c r="I1411" s="1" t="s">
        <v>1041</v>
      </c>
    </row>
    <row r="1412">
      <c r="A1412" s="2" t="str">
        <f>HYPERLINK("https://ui.adsabs.harvard.edu/abs/2022Quant...6..709V/abstract","2022Quant...6..709V")</f>
        <v>2022Quant...6..709V</v>
      </c>
      <c r="B1412" s="2" t="str">
        <f>HYPERLINK("https://ui.adsabs.harvard.edu/abs/2021arXiv210709793V/abstract","2021arXiv210709793V")</f>
        <v>2021arXiv210709793V</v>
      </c>
      <c r="C1412" s="1" t="s">
        <v>70</v>
      </c>
      <c r="E1412" s="2" t="str">
        <f>HYPERLINK("https://ui.adsabs.harvard.edu/abs/2021arXiv210709793V/abstract","2021arXiv210709793V")</f>
        <v>2021arXiv210709793V</v>
      </c>
      <c r="G1412" s="1" t="s">
        <v>72</v>
      </c>
      <c r="H1412" s="1">
        <v>0.9961402</v>
      </c>
      <c r="I1412" s="1" t="s">
        <v>1041</v>
      </c>
    </row>
    <row r="1413">
      <c r="A1413" s="2" t="str">
        <f>HYPERLINK("https://ui.adsabs.harvard.edu/abs/2022Quant...6..710R/abstract","2022Quant...6..710R")</f>
        <v>2022Quant...6..710R</v>
      </c>
      <c r="B1413" s="2" t="str">
        <f>HYPERLINK("https://ui.adsabs.harvard.edu/abs/2021arXiv210906770R/abstract","2021arXiv210906770R")</f>
        <v>2021arXiv210906770R</v>
      </c>
      <c r="C1413" s="1" t="s">
        <v>70</v>
      </c>
      <c r="E1413" s="2" t="str">
        <f>HYPERLINK("https://ui.adsabs.harvard.edu/abs/2021arXiv210906770R/abstract","2021arXiv210906770R")</f>
        <v>2021arXiv210906770R</v>
      </c>
      <c r="G1413" s="1" t="s">
        <v>72</v>
      </c>
      <c r="H1413" s="1">
        <v>0.9961402</v>
      </c>
      <c r="I1413" s="1" t="s">
        <v>1041</v>
      </c>
    </row>
    <row r="1414">
      <c r="A1414" s="2" t="str">
        <f>HYPERLINK("https://ui.adsabs.harvard.edu/abs/2022Quant...6..711B/abstract","2022Quant...6..711B")</f>
        <v>2022Quant...6..711B</v>
      </c>
      <c r="B1414" s="2" t="str">
        <f>HYPERLINK("https://ui.adsabs.harvard.edu/abs/2021arXiv210600765B/abstract","2021arXiv210600765B")</f>
        <v>2021arXiv210600765B</v>
      </c>
      <c r="C1414" s="1" t="s">
        <v>70</v>
      </c>
      <c r="E1414" s="2" t="str">
        <f>HYPERLINK("https://ui.adsabs.harvard.edu/abs/2021arXiv210600765B/abstract","2021arXiv210600765B")</f>
        <v>2021arXiv210600765B</v>
      </c>
      <c r="G1414" s="1" t="s">
        <v>72</v>
      </c>
      <c r="H1414" s="1">
        <v>0.9961402</v>
      </c>
      <c r="I1414" s="1" t="s">
        <v>1041</v>
      </c>
    </row>
    <row r="1415">
      <c r="A1415" s="2" t="str">
        <f>HYPERLINK("https://ui.adsabs.harvard.edu/abs/2022Quant...6..713D/abstract","2022Quant...6..713D")</f>
        <v>2022Quant...6..713D</v>
      </c>
      <c r="B1415" s="2" t="str">
        <f>HYPERLINK("https://ui.adsabs.harvard.edu/abs/2021arXiv210609057D/abstract","2021arXiv210609057D")</f>
        <v>2021arXiv210609057D</v>
      </c>
      <c r="C1415" s="1" t="s">
        <v>70</v>
      </c>
      <c r="E1415" s="2" t="str">
        <f>HYPERLINK("https://ui.adsabs.harvard.edu/abs/2021arXiv210609057D/abstract","2021arXiv210609057D")</f>
        <v>2021arXiv210609057D</v>
      </c>
      <c r="G1415" s="1" t="s">
        <v>72</v>
      </c>
      <c r="H1415" s="1">
        <v>0.9961402</v>
      </c>
      <c r="I1415" s="1" t="s">
        <v>1041</v>
      </c>
    </row>
    <row r="1416">
      <c r="A1416" s="2" t="str">
        <f>HYPERLINK("https://ui.adsabs.harvard.edu/abs/2022Quant...6..714M/abstract","2022Quant...6..714M")</f>
        <v>2022Quant...6..714M</v>
      </c>
      <c r="B1416" s="2" t="str">
        <f>HYPERLINK("https://ui.adsabs.harvard.edu/abs/2021arXiv210500352M/abstract","2021arXiv210500352M")</f>
        <v>2021arXiv210500352M</v>
      </c>
      <c r="C1416" s="1" t="s">
        <v>70</v>
      </c>
      <c r="E1416" s="2" t="str">
        <f>HYPERLINK("https://ui.adsabs.harvard.edu/abs/2021arXiv210500352M/abstract","2021arXiv210500352M")</f>
        <v>2021arXiv210500352M</v>
      </c>
      <c r="G1416" s="1" t="s">
        <v>72</v>
      </c>
      <c r="H1416" s="1">
        <v>0.9961402</v>
      </c>
      <c r="I1416" s="1" t="s">
        <v>1041</v>
      </c>
    </row>
    <row r="1417">
      <c r="A1417" s="2" t="str">
        <f>HYPERLINK("https://ui.adsabs.harvard.edu/abs/2022Quant...6..715J/abstract","2022Quant...6..715J")</f>
        <v>2022Quant...6..715J</v>
      </c>
      <c r="B1417" s="2" t="str">
        <f>HYPERLINK("https://ui.adsabs.harvard.edu/abs/2021arXiv210303669J/abstract","2021arXiv210303669J")</f>
        <v>2021arXiv210303669J</v>
      </c>
      <c r="C1417" s="1" t="s">
        <v>70</v>
      </c>
      <c r="E1417" s="2" t="str">
        <f>HYPERLINK("https://ui.adsabs.harvard.edu/abs/2021arXiv210303669J/abstract","2021arXiv210303669J")</f>
        <v>2021arXiv210303669J</v>
      </c>
      <c r="G1417" s="1" t="s">
        <v>72</v>
      </c>
      <c r="H1417" s="1">
        <v>0.9961402</v>
      </c>
      <c r="I1417" s="1" t="s">
        <v>1041</v>
      </c>
    </row>
    <row r="1418">
      <c r="A1418" s="2" t="str">
        <f>HYPERLINK("https://ui.adsabs.harvard.edu/abs/2022Quant...6..716D/abstract","2022Quant...6..716D")</f>
        <v>2022Quant...6..716D</v>
      </c>
      <c r="B1418" s="2" t="str">
        <f>HYPERLINK("https://ui.adsabs.harvard.edu/abs/2021arXiv211001041D/abstract","2021arXiv211001041D")</f>
        <v>2021arXiv211001041D</v>
      </c>
      <c r="C1418" s="1" t="s">
        <v>70</v>
      </c>
      <c r="E1418" s="2" t="str">
        <f>HYPERLINK("https://ui.adsabs.harvard.edu/abs/2021arXiv211001041D/abstract","2021arXiv211001041D")</f>
        <v>2021arXiv211001041D</v>
      </c>
      <c r="G1418" s="1" t="s">
        <v>72</v>
      </c>
      <c r="H1418" s="1">
        <v>0.9961402</v>
      </c>
      <c r="I1418" s="1" t="s">
        <v>1041</v>
      </c>
    </row>
    <row r="1419">
      <c r="A1419" s="2" t="str">
        <f>HYPERLINK("https://ui.adsabs.harvard.edu/abs/2022Quant...6..720S/abstract","2022Quant...6..720S")</f>
        <v>2022Quant...6..720S</v>
      </c>
      <c r="B1419" s="2" t="str">
        <f>HYPERLINK("https://ui.adsabs.harvard.edu/abs/2021arXiv210315084S/abstract","2021arXiv210315084S")</f>
        <v>2021arXiv210315084S</v>
      </c>
      <c r="C1419" s="1" t="s">
        <v>70</v>
      </c>
      <c r="E1419" s="2" t="str">
        <f>HYPERLINK("https://ui.adsabs.harvard.edu/abs/2021arXiv210315084S/abstract","2021arXiv210315084S")</f>
        <v>2021arXiv210315084S</v>
      </c>
      <c r="G1419" s="1" t="s">
        <v>72</v>
      </c>
      <c r="H1419" s="1">
        <v>0.9961402</v>
      </c>
      <c r="I1419" s="1" t="s">
        <v>1041</v>
      </c>
    </row>
    <row r="1420">
      <c r="A1420" s="2" t="str">
        <f>HYPERLINK("https://ui.adsabs.harvard.edu/abs/2022Quant...6..722M/abstract","2022Quant...6..722M")</f>
        <v>2022Quant...6..722M</v>
      </c>
      <c r="B1420" s="2" t="str">
        <f>HYPERLINK("https://ui.adsabs.harvard.edu/abs/2021arXiv211015627M/abstract","2021arXiv211015627M")</f>
        <v>2021arXiv211015627M</v>
      </c>
      <c r="C1420" s="1" t="s">
        <v>70</v>
      </c>
      <c r="E1420" s="2" t="str">
        <f>HYPERLINK("https://ui.adsabs.harvard.edu/abs/2021arXiv211015627M/abstract","2021arXiv211015627M")</f>
        <v>2021arXiv211015627M</v>
      </c>
      <c r="G1420" s="1" t="s">
        <v>72</v>
      </c>
      <c r="H1420" s="1">
        <v>0.9961402</v>
      </c>
      <c r="I1420" s="1" t="s">
        <v>1041</v>
      </c>
    </row>
    <row r="1421">
      <c r="A1421" s="2" t="str">
        <f>HYPERLINK("https://ui.adsabs.harvard.edu/abs/2022Quant...6..726H/abstract","2022Quant...6..726H")</f>
        <v>2022Quant...6..726H</v>
      </c>
      <c r="B1421" s="2" t="str">
        <f>HYPERLINK("https://ui.adsabs.harvard.edu/abs/2021arXiv210105287H/abstract","2021arXiv210105287H")</f>
        <v>2021arXiv210105287H</v>
      </c>
      <c r="C1421" s="1" t="s">
        <v>70</v>
      </c>
      <c r="E1421" s="2" t="str">
        <f>HYPERLINK("https://ui.adsabs.harvard.edu/abs/2021arXiv210105287H/abstract","2021arXiv210105287H")</f>
        <v>2021arXiv210105287H</v>
      </c>
      <c r="G1421" s="1" t="s">
        <v>72</v>
      </c>
      <c r="H1421" s="1">
        <v>0.9961402</v>
      </c>
      <c r="I1421" s="1" t="s">
        <v>1041</v>
      </c>
    </row>
    <row r="1422">
      <c r="A1422" s="2" t="str">
        <f>HYPERLINK("https://ui.adsabs.harvard.edu/abs/2022Quant...6..727R/abstract","2022Quant...6..727R")</f>
        <v>2022Quant...6..727R</v>
      </c>
      <c r="B1422" s="2" t="str">
        <f>HYPERLINK("https://ui.adsabs.harvard.edu/abs/2021arXiv210500098R/abstract","2021arXiv210500098R")</f>
        <v>2021arXiv210500098R</v>
      </c>
      <c r="C1422" s="1" t="s">
        <v>70</v>
      </c>
      <c r="E1422" s="2" t="str">
        <f>HYPERLINK("https://ui.adsabs.harvard.edu/abs/2021arXiv210500098R/abstract","2021arXiv210500098R")</f>
        <v>2021arXiv210500098R</v>
      </c>
      <c r="G1422" s="1" t="s">
        <v>72</v>
      </c>
      <c r="H1422" s="1">
        <v>0.9961402</v>
      </c>
      <c r="I1422" s="1" t="s">
        <v>1041</v>
      </c>
    </row>
    <row r="1423">
      <c r="A1423" s="2" t="str">
        <f>HYPERLINK("https://ui.adsabs.harvard.edu/abs/2022Quant...6..731D/abstract","2022Quant...6..731D")</f>
        <v>2022Quant...6..731D</v>
      </c>
      <c r="B1423" s="2" t="str">
        <f>HYPERLINK("https://ui.adsabs.harvard.edu/abs/2021arXiv210811856D/abstract","2021arXiv210811856D")</f>
        <v>2021arXiv210811856D</v>
      </c>
      <c r="C1423" s="1" t="s">
        <v>70</v>
      </c>
      <c r="E1423" s="2" t="str">
        <f>HYPERLINK("https://ui.adsabs.harvard.edu/abs/2021arXiv210811856D/abstract","2021arXiv210811856D")</f>
        <v>2021arXiv210811856D</v>
      </c>
      <c r="G1423" s="1" t="s">
        <v>72</v>
      </c>
      <c r="H1423" s="1">
        <v>0.9961402</v>
      </c>
      <c r="I1423" s="1" t="s">
        <v>1041</v>
      </c>
    </row>
    <row r="1424">
      <c r="A1424" s="2" t="str">
        <f>HYPERLINK("https://ui.adsabs.harvard.edu/abs/2022Quant...6..737B/abstract","2022Quant...6..737B")</f>
        <v>2022Quant...6..737B</v>
      </c>
      <c r="B1424" s="2" t="str">
        <f>HYPERLINK("https://ui.adsabs.harvard.edu/abs/2021arXiv211108961B/abstract","2021arXiv211108961B")</f>
        <v>2021arXiv211108961B</v>
      </c>
      <c r="C1424" s="1" t="s">
        <v>70</v>
      </c>
      <c r="E1424" s="2" t="str">
        <f>HYPERLINK("https://ui.adsabs.harvard.edu/abs/2021arXiv211108961B/abstract","2021arXiv211108961B")</f>
        <v>2021arXiv211108961B</v>
      </c>
      <c r="G1424" s="1" t="s">
        <v>72</v>
      </c>
      <c r="H1424" s="1">
        <v>0.9961402</v>
      </c>
      <c r="I1424" s="1" t="s">
        <v>1041</v>
      </c>
    </row>
    <row r="1425">
      <c r="A1425" s="2" t="str">
        <f>HYPERLINK("https://ui.adsabs.harvard.edu/abs/2022Quant...6..738C/abstract","2022Quant...6..738C")</f>
        <v>2022Quant...6..738C</v>
      </c>
      <c r="B1425" s="2" t="str">
        <f>HYPERLINK("https://ui.adsabs.harvard.edu/abs/2022arXiv220212306C/abstract","2022arXiv220212306C")</f>
        <v>2022arXiv220212306C</v>
      </c>
      <c r="C1425" s="1" t="s">
        <v>70</v>
      </c>
      <c r="E1425" s="2" t="str">
        <f>HYPERLINK("https://ui.adsabs.harvard.edu/abs/2022arXiv220212306C/abstract","2022arXiv220212306C")</f>
        <v>2022arXiv220212306C</v>
      </c>
      <c r="G1425" s="1" t="s">
        <v>72</v>
      </c>
      <c r="H1425" s="1">
        <v>0.9961402</v>
      </c>
      <c r="I1425" s="1" t="s">
        <v>1041</v>
      </c>
    </row>
    <row r="1426">
      <c r="A1426" s="2" t="str">
        <f>HYPERLINK("https://ui.adsabs.harvard.edu/abs/2022Quant...6..740L/abstract","2022Quant...6..740L")</f>
        <v>2022Quant...6..740L</v>
      </c>
      <c r="B1426" s="2" t="str">
        <f>HYPERLINK("https://ui.adsabs.harvard.edu/abs/2022arXiv220304388L/abstract","2022arXiv220304388L")</f>
        <v>2022arXiv220304388L</v>
      </c>
      <c r="C1426" s="1" t="s">
        <v>70</v>
      </c>
      <c r="E1426" s="2" t="str">
        <f>HYPERLINK("https://ui.adsabs.harvard.edu/abs/2022arXiv220304388L/abstract","2022arXiv220304388L")</f>
        <v>2022arXiv220304388L</v>
      </c>
      <c r="G1426" s="1" t="s">
        <v>72</v>
      </c>
      <c r="H1426" s="1">
        <v>0.9961402</v>
      </c>
      <c r="I1426" s="1" t="s">
        <v>1041</v>
      </c>
    </row>
    <row r="1427">
      <c r="A1427" s="2" t="str">
        <f>HYPERLINK("https://ui.adsabs.harvard.edu/abs/2022Quant...6..741B/abstract","2022Quant...6..741B")</f>
        <v>2022Quant...6..741B</v>
      </c>
      <c r="B1427" s="2" t="str">
        <f>HYPERLINK("https://ui.adsabs.harvard.edu/abs/2021arXiv210901150B/abstract","2021arXiv210901150B")</f>
        <v>2021arXiv210901150B</v>
      </c>
      <c r="C1427" s="1" t="s">
        <v>70</v>
      </c>
      <c r="E1427" s="2" t="str">
        <f>HYPERLINK("https://ui.adsabs.harvard.edu/abs/2021arXiv210901150B/abstract","2021arXiv210901150B")</f>
        <v>2021arXiv210901150B</v>
      </c>
      <c r="G1427" s="1" t="s">
        <v>72</v>
      </c>
      <c r="H1427" s="1">
        <v>0.9961402</v>
      </c>
      <c r="I1427" s="1" t="s">
        <v>1041</v>
      </c>
    </row>
    <row r="1428">
      <c r="A1428" s="2" t="str">
        <f>HYPERLINK("https://ui.adsabs.harvard.edu/abs/2022Quant...6..742A/abstract","2022Quant...6..742A")</f>
        <v>2022Quant...6..742A</v>
      </c>
      <c r="B1428" s="2" t="str">
        <f>HYPERLINK("https://ui.adsabs.harvard.edu/abs/2021arXiv210613839A/abstract","2021arXiv210613839A")</f>
        <v>2021arXiv210613839A</v>
      </c>
      <c r="C1428" s="1" t="s">
        <v>70</v>
      </c>
      <c r="E1428" s="2" t="str">
        <f>HYPERLINK("https://ui.adsabs.harvard.edu/abs/2021arXiv210613839A/abstract","2021arXiv210613839A")</f>
        <v>2021arXiv210613839A</v>
      </c>
      <c r="G1428" s="1" t="s">
        <v>72</v>
      </c>
      <c r="H1428" s="1">
        <v>0.9961402</v>
      </c>
      <c r="I1428" s="1" t="s">
        <v>1041</v>
      </c>
    </row>
    <row r="1429">
      <c r="A1429" s="2" t="str">
        <f>HYPERLINK("https://ui.adsabs.harvard.edu/abs/2022Quant...6..743C/abstract","2022Quant...6..743C")</f>
        <v>2022Quant...6..743C</v>
      </c>
      <c r="B1429" s="2" t="str">
        <f>HYPERLINK("https://ui.adsabs.harvard.edu/abs/2021arXiv211002098C/abstract","2021arXiv211002098C")</f>
        <v>2021arXiv211002098C</v>
      </c>
      <c r="C1429" s="1" t="s">
        <v>70</v>
      </c>
      <c r="E1429" s="2" t="str">
        <f>HYPERLINK("https://ui.adsabs.harvard.edu/abs/2021arXiv211002098C/abstract","2021arXiv211002098C")</f>
        <v>2021arXiv211002098C</v>
      </c>
      <c r="G1429" s="1" t="s">
        <v>72</v>
      </c>
      <c r="H1429" s="1">
        <v>0.9961402</v>
      </c>
      <c r="I1429" s="1" t="s">
        <v>1041</v>
      </c>
    </row>
    <row r="1430">
      <c r="A1430" s="2" t="str">
        <f>HYPERLINK("https://ui.adsabs.harvard.edu/abs/2022Quant...6..746A/abstract","2022Quant...6..746A")</f>
        <v>2022Quant...6..746A</v>
      </c>
      <c r="B1430" s="2" t="str">
        <f>HYPERLINK("https://ui.adsabs.harvard.edu/abs/2021arXiv211107086A/abstract","2021arXiv211107086A")</f>
        <v>2021arXiv211107086A</v>
      </c>
      <c r="C1430" s="1" t="s">
        <v>70</v>
      </c>
      <c r="E1430" s="2" t="str">
        <f>HYPERLINK("https://ui.adsabs.harvard.edu/abs/2021arXiv211107086A/abstract","2021arXiv211107086A")</f>
        <v>2021arXiv211107086A</v>
      </c>
      <c r="G1430" s="1" t="s">
        <v>72</v>
      </c>
      <c r="H1430" s="1">
        <v>0.9961402</v>
      </c>
      <c r="I1430" s="1" t="s">
        <v>1041</v>
      </c>
    </row>
    <row r="1431">
      <c r="A1431" s="2" t="str">
        <f>HYPERLINK("https://ui.adsabs.harvard.edu/abs/2022Quant...6..747P/abstract","2022Quant...6..747P")</f>
        <v>2022Quant...6..747P</v>
      </c>
      <c r="B1431" s="2" t="str">
        <f>HYPERLINK("https://ui.adsabs.harvard.edu/abs/2021arXiv210708816P/abstract","2021arXiv210708816P")</f>
        <v>2021arXiv210708816P</v>
      </c>
      <c r="C1431" s="1" t="s">
        <v>70</v>
      </c>
      <c r="E1431" s="2" t="str">
        <f>HYPERLINK("https://ui.adsabs.harvard.edu/abs/2021arXiv210708816P/abstract","2021arXiv210708816P")</f>
        <v>2021arXiv210708816P</v>
      </c>
      <c r="G1431" s="1" t="s">
        <v>72</v>
      </c>
      <c r="H1431" s="1">
        <v>0.9961402</v>
      </c>
      <c r="I1431" s="1" t="s">
        <v>1041</v>
      </c>
    </row>
    <row r="1432">
      <c r="A1432" s="2" t="str">
        <f>HYPERLINK("https://ui.adsabs.harvard.edu/abs/2022Quant...6..749L/abstract","2022Quant...6..749L")</f>
        <v>2022Quant...6..749L</v>
      </c>
      <c r="B1432" s="2" t="str">
        <f>HYPERLINK("https://ui.adsabs.harvard.edu/abs/2021arXiv210813050L/abstract","2021arXiv210813050L")</f>
        <v>2021arXiv210813050L</v>
      </c>
      <c r="C1432" s="1" t="s">
        <v>70</v>
      </c>
      <c r="E1432" s="2" t="str">
        <f>HYPERLINK("https://ui.adsabs.harvard.edu/abs/2021arXiv210813050L/abstract","2021arXiv210813050L")</f>
        <v>2021arXiv210813050L</v>
      </c>
      <c r="G1432" s="1" t="s">
        <v>72</v>
      </c>
      <c r="H1432" s="1">
        <v>0.9961402</v>
      </c>
      <c r="I1432" s="1" t="s">
        <v>1041</v>
      </c>
    </row>
    <row r="1433">
      <c r="A1433" s="2" t="str">
        <f>HYPERLINK("https://ui.adsabs.harvard.edu/abs/2022Quant...6..750J/abstract","2022Quant...6..750J")</f>
        <v>2022Quant...6..750J</v>
      </c>
      <c r="B1433" s="2" t="str">
        <f>HYPERLINK("https://ui.adsabs.harvard.edu/abs/2021arXiv210813369J/abstract","2021arXiv210813369J")</f>
        <v>2021arXiv210813369J</v>
      </c>
      <c r="C1433" s="1" t="s">
        <v>70</v>
      </c>
      <c r="E1433" s="2" t="str">
        <f>HYPERLINK("https://ui.adsabs.harvard.edu/abs/2021arXiv210813369J/abstract","2021arXiv210813369J")</f>
        <v>2021arXiv210813369J</v>
      </c>
      <c r="G1433" s="1" t="s">
        <v>72</v>
      </c>
      <c r="H1433" s="1">
        <v>0.9961402</v>
      </c>
      <c r="I1433" s="1" t="s">
        <v>1041</v>
      </c>
    </row>
    <row r="1434">
      <c r="A1434" s="2" t="str">
        <f>HYPERLINK("https://ui.adsabs.harvard.edu/abs/2022Quant...6..751F/abstract","2022Quant...6..751F")</f>
        <v>2022Quant...6..751F</v>
      </c>
      <c r="B1434" s="2" t="str">
        <f>HYPERLINK("https://ui.adsabs.harvard.edu/abs/2021arXiv210110985F/abstract","2021arXiv210110985F")</f>
        <v>2021arXiv210110985F</v>
      </c>
      <c r="C1434" s="1" t="s">
        <v>70</v>
      </c>
      <c r="E1434" s="2" t="str">
        <f>HYPERLINK("https://ui.adsabs.harvard.edu/abs/2021arXiv210110985F/abstract","2021arXiv210110985F")</f>
        <v>2021arXiv210110985F</v>
      </c>
      <c r="G1434" s="1" t="s">
        <v>72</v>
      </c>
      <c r="H1434" s="1">
        <v>0.9961402</v>
      </c>
      <c r="I1434" s="1" t="s">
        <v>1041</v>
      </c>
    </row>
    <row r="1435">
      <c r="A1435" s="2" t="str">
        <f>HYPERLINK("https://ui.adsabs.harvard.edu/abs/2022Quant...6..752P/abstract","2022Quant...6..752P")</f>
        <v>2022Quant...6..752P</v>
      </c>
      <c r="B1435" s="2" t="str">
        <f>HYPERLINK("https://ui.adsabs.harvard.edu/abs/2022arXiv220204915P/abstract","2022arXiv220204915P")</f>
        <v>2022arXiv220204915P</v>
      </c>
      <c r="C1435" s="1" t="s">
        <v>70</v>
      </c>
      <c r="E1435" s="2" t="str">
        <f>HYPERLINK("https://ui.adsabs.harvard.edu/abs/2022arXiv220204915P/abstract","2022arXiv220204915P")</f>
        <v>2022arXiv220204915P</v>
      </c>
      <c r="G1435" s="1" t="s">
        <v>72</v>
      </c>
      <c r="H1435" s="1">
        <v>0.9961402</v>
      </c>
      <c r="I1435" s="1" t="s">
        <v>1041</v>
      </c>
    </row>
    <row r="1436">
      <c r="A1436" s="2" t="str">
        <f>HYPERLINK("https://ui.adsabs.harvard.edu/abs/2022Quant...6..756P/abstract","2022Quant...6..756P")</f>
        <v>2022Quant...6..756P</v>
      </c>
      <c r="B1436" s="2" t="str">
        <f>HYPERLINK("https://ui.adsabs.harvard.edu/abs/2021arXiv211203887P/abstract","2021arXiv211203887P")</f>
        <v>2021arXiv211203887P</v>
      </c>
      <c r="C1436" s="1" t="s">
        <v>70</v>
      </c>
      <c r="E1436" s="2" t="str">
        <f>HYPERLINK("https://ui.adsabs.harvard.edu/abs/2021arXiv211203887P/abstract","2021arXiv211203887P")</f>
        <v>2021arXiv211203887P</v>
      </c>
      <c r="G1436" s="1" t="s">
        <v>72</v>
      </c>
      <c r="H1436" s="1">
        <v>0.9961402</v>
      </c>
      <c r="I1436" s="1" t="s">
        <v>1041</v>
      </c>
    </row>
    <row r="1437">
      <c r="A1437" s="2" t="str">
        <f>HYPERLINK("https://ui.adsabs.harvard.edu/abs/2022Quant...6..758T/abstract","2022Quant...6..758T")</f>
        <v>2022Quant...6..758T</v>
      </c>
      <c r="B1437" s="2" t="str">
        <f>HYPERLINK("https://ui.adsabs.harvard.edu/abs/2021arXiv210914928T/abstract","2021arXiv210914928T")</f>
        <v>2021arXiv210914928T</v>
      </c>
      <c r="C1437" s="1" t="s">
        <v>70</v>
      </c>
      <c r="E1437" s="2" t="str">
        <f>HYPERLINK("https://ui.adsabs.harvard.edu/abs/2021arXiv210914928T/abstract","2021arXiv210914928T")</f>
        <v>2021arXiv210914928T</v>
      </c>
      <c r="G1437" s="1" t="s">
        <v>72</v>
      </c>
      <c r="H1437" s="1">
        <v>0.9961402</v>
      </c>
      <c r="I1437" s="1" t="s">
        <v>1041</v>
      </c>
    </row>
    <row r="1438">
      <c r="A1438" s="2" t="str">
        <f>HYPERLINK("https://ui.adsabs.harvard.edu/abs/2022Quant...6..761Z/abstract","2022Quant...6..761Z")</f>
        <v>2022Quant...6..761Z</v>
      </c>
      <c r="B1438" s="2" t="str">
        <f>HYPERLINK("https://ui.adsabs.harvard.edu/abs/2021arXiv210913957Z/abstract","2021arXiv210913957Z")</f>
        <v>2021arXiv210913957Z</v>
      </c>
      <c r="C1438" s="1" t="s">
        <v>70</v>
      </c>
      <c r="E1438" s="2" t="str">
        <f>HYPERLINK("https://ui.adsabs.harvard.edu/abs/2021arXiv210913957Z/abstract","2021arXiv210913957Z")</f>
        <v>2021arXiv210913957Z</v>
      </c>
      <c r="G1438" s="1" t="s">
        <v>72</v>
      </c>
      <c r="H1438" s="1">
        <v>0.9961402</v>
      </c>
      <c r="I1438" s="1" t="s">
        <v>1041</v>
      </c>
    </row>
    <row r="1439">
      <c r="A1439" s="2" t="str">
        <f>HYPERLINK("https://ui.adsabs.harvard.edu/abs/2022Quant...6..762L/abstract","2022Quant...6..762L")</f>
        <v>2022Quant...6..762L</v>
      </c>
      <c r="B1439" s="2" t="str">
        <f>HYPERLINK("https://ui.adsabs.harvard.edu/abs/2021arXiv211103116L/abstract","2021arXiv211103116L")</f>
        <v>2021arXiv211103116L</v>
      </c>
      <c r="C1439" s="1" t="s">
        <v>70</v>
      </c>
      <c r="E1439" s="2" t="str">
        <f>HYPERLINK("https://ui.adsabs.harvard.edu/abs/2021arXiv211103116L/abstract","2021arXiv211103116L")</f>
        <v>2021arXiv211103116L</v>
      </c>
      <c r="G1439" s="1" t="s">
        <v>72</v>
      </c>
      <c r="H1439" s="1">
        <v>0.9961402</v>
      </c>
      <c r="I1439" s="1" t="s">
        <v>1041</v>
      </c>
    </row>
    <row r="1440">
      <c r="A1440" s="2" t="str">
        <f>HYPERLINK("https://ui.adsabs.harvard.edu/abs/2022Quant...6..764C/abstract","2022Quant...6..764C")</f>
        <v>2022Quant...6..764C</v>
      </c>
      <c r="B1440" s="2" t="str">
        <f>HYPERLINK("https://ui.adsabs.harvard.edu/abs/2022arXiv220106548C/abstract","2022arXiv220106548C")</f>
        <v>2022arXiv220106548C</v>
      </c>
      <c r="C1440" s="1" t="s">
        <v>70</v>
      </c>
      <c r="E1440" s="2" t="str">
        <f>HYPERLINK("https://ui.adsabs.harvard.edu/abs/2022arXiv220106548C/abstract","2022arXiv220106548C")</f>
        <v>2022arXiv220106548C</v>
      </c>
      <c r="G1440" s="1" t="s">
        <v>72</v>
      </c>
      <c r="H1440" s="1">
        <v>0.9961402</v>
      </c>
      <c r="I1440" s="1" t="s">
        <v>1041</v>
      </c>
    </row>
    <row r="1441">
      <c r="A1441" s="2" t="str">
        <f>HYPERLINK("https://ui.adsabs.harvard.edu/abs/2022Quant...6..765L/abstract","2022Quant...6..765L")</f>
        <v>2022Quant...6..765L</v>
      </c>
      <c r="B1441" s="2" t="str">
        <f>HYPERLINK("https://ui.adsabs.harvard.edu/abs/2021arXiv210705646L/abstract","2021arXiv210705646L")</f>
        <v>2021arXiv210705646L</v>
      </c>
      <c r="C1441" s="1" t="s">
        <v>70</v>
      </c>
      <c r="E1441" s="2" t="str">
        <f>HYPERLINK("https://ui.adsabs.harvard.edu/abs/2021arXiv210705646L/abstract","2021arXiv210705646L")</f>
        <v>2021arXiv210705646L</v>
      </c>
      <c r="G1441" s="1" t="s">
        <v>72</v>
      </c>
      <c r="H1441" s="1">
        <v>0.9961402</v>
      </c>
      <c r="I1441" s="1" t="s">
        <v>1041</v>
      </c>
    </row>
    <row r="1442">
      <c r="A1442" s="2" t="str">
        <f>HYPERLINK("https://ui.adsabs.harvard.edu/abs/2022Quant...6..767R/abstract","2022Quant...6..767R")</f>
        <v>2022Quant...6..767R</v>
      </c>
      <c r="B1442" s="2" t="str">
        <f>HYPERLINK("https://ui.adsabs.harvard.edu/abs/2021arXiv211107029R/abstract","2021arXiv211107029R")</f>
        <v>2021arXiv211107029R</v>
      </c>
      <c r="C1442" s="1" t="s">
        <v>70</v>
      </c>
      <c r="E1442" s="2" t="str">
        <f>HYPERLINK("https://ui.adsabs.harvard.edu/abs/2021arXiv211107029R/abstract","2021arXiv211107029R")</f>
        <v>2021arXiv211107029R</v>
      </c>
      <c r="G1442" s="1" t="s">
        <v>72</v>
      </c>
      <c r="H1442" s="1">
        <v>0.9961402</v>
      </c>
      <c r="I1442" s="1" t="s">
        <v>1041</v>
      </c>
    </row>
    <row r="1443">
      <c r="A1443" s="2" t="str">
        <f>HYPERLINK("https://ui.adsabs.harvard.edu/abs/2022Quant...6..768C/abstract","2022Quant...6..768C")</f>
        <v>2022Quant...6..768C</v>
      </c>
      <c r="B1443" s="2" t="str">
        <f>HYPERLINK("https://ui.adsabs.harvard.edu/abs/2021arXiv211005899C/abstract","2021arXiv211005899C")</f>
        <v>2021arXiv211005899C</v>
      </c>
      <c r="C1443" s="1" t="s">
        <v>70</v>
      </c>
      <c r="E1443" s="2" t="str">
        <f>HYPERLINK("https://ui.adsabs.harvard.edu/abs/2021arXiv211005899C/abstract","2021arXiv211005899C")</f>
        <v>2021arXiv211005899C</v>
      </c>
      <c r="G1443" s="1" t="s">
        <v>72</v>
      </c>
      <c r="H1443" s="1">
        <v>0.9961402</v>
      </c>
      <c r="I1443" s="1" t="s">
        <v>1041</v>
      </c>
    </row>
    <row r="1444">
      <c r="A1444" s="2" t="str">
        <f>HYPERLINK("https://ui.adsabs.harvard.edu/abs/2022Quant...6..770S/abstract","2022Quant...6..770S")</f>
        <v>2022Quant...6..770S</v>
      </c>
      <c r="B1444" s="2" t="str">
        <f>HYPERLINK("https://ui.adsabs.harvard.edu/abs/2021arXiv211112509S/abstract","2021arXiv211112509S")</f>
        <v>2021arXiv211112509S</v>
      </c>
      <c r="C1444" s="1" t="s">
        <v>70</v>
      </c>
      <c r="E1444" s="2" t="str">
        <f>HYPERLINK("https://ui.adsabs.harvard.edu/abs/2021arXiv211112509S/abstract","2021arXiv211112509S")</f>
        <v>2021arXiv211112509S</v>
      </c>
      <c r="G1444" s="1" t="s">
        <v>72</v>
      </c>
      <c r="H1444" s="1">
        <v>0.9961402</v>
      </c>
      <c r="I1444" s="1" t="s">
        <v>1041</v>
      </c>
    </row>
    <row r="1445">
      <c r="A1445" s="2" t="str">
        <f>HYPERLINK("https://ui.adsabs.harvard.edu/abs/2022Quant...6..772B/abstract","2022Quant...6..772B")</f>
        <v>2022Quant...6..772B</v>
      </c>
      <c r="B1445" s="2" t="str">
        <f>HYPERLINK("https://ui.adsabs.harvard.edu/abs/2021arXiv210913152B/abstract","2021arXiv210913152B")</f>
        <v>2021arXiv210913152B</v>
      </c>
      <c r="C1445" s="1" t="s">
        <v>70</v>
      </c>
      <c r="E1445" s="2" t="str">
        <f>HYPERLINK("https://ui.adsabs.harvard.edu/abs/2021arXiv210913152B/abstract","2021arXiv210913152B")</f>
        <v>2021arXiv210913152B</v>
      </c>
      <c r="G1445" s="1" t="s">
        <v>72</v>
      </c>
      <c r="H1445" s="1">
        <v>0.9961402</v>
      </c>
      <c r="I1445" s="1" t="s">
        <v>1041</v>
      </c>
    </row>
    <row r="1446">
      <c r="A1446" s="2" t="str">
        <f>HYPERLINK("https://ui.adsabs.harvard.edu/abs/2022Quant...6..777B/abstract","2022Quant...6..777B")</f>
        <v>2022Quant...6..777B</v>
      </c>
      <c r="B1446" s="2" t="str">
        <f>HYPERLINK("https://ui.adsabs.harvard.edu/abs/2021arXiv211006933B/abstract","2021arXiv211006933B")</f>
        <v>2021arXiv211006933B</v>
      </c>
      <c r="C1446" s="1" t="s">
        <v>70</v>
      </c>
      <c r="E1446" s="2" t="str">
        <f>HYPERLINK("https://ui.adsabs.harvard.edu/abs/2021arXiv211006933B/abstract","2021arXiv211006933B")</f>
        <v>2021arXiv211006933B</v>
      </c>
      <c r="G1446" s="1" t="s">
        <v>72</v>
      </c>
      <c r="H1446" s="1">
        <v>0.9961402</v>
      </c>
      <c r="I1446" s="1" t="s">
        <v>1041</v>
      </c>
    </row>
    <row r="1447">
      <c r="A1447" s="2" t="str">
        <f>HYPERLINK("https://ui.adsabs.harvard.edu/abs/2022Quant...6..780R/abstract","2022Quant...6..780R")</f>
        <v>2022Quant...6..780R</v>
      </c>
      <c r="B1447" s="2" t="str">
        <f>HYPERLINK("https://ui.adsabs.harvard.edu/abs/2021arXiv210903308R/abstract","2021arXiv210903308R")</f>
        <v>2021arXiv210903308R</v>
      </c>
      <c r="C1447" s="1" t="s">
        <v>70</v>
      </c>
      <c r="E1447" s="2" t="str">
        <f>HYPERLINK("https://ui.adsabs.harvard.edu/abs/2021arXiv210903308R/abstract","2021arXiv210903308R")</f>
        <v>2021arXiv210903308R</v>
      </c>
      <c r="G1447" s="1" t="s">
        <v>72</v>
      </c>
      <c r="H1447" s="1">
        <v>0.9961402</v>
      </c>
      <c r="I1447" s="1" t="s">
        <v>1041</v>
      </c>
    </row>
    <row r="1448">
      <c r="A1448" s="2" t="str">
        <f>HYPERLINK("https://ui.adsabs.harvard.edu/abs/2022Quant...6..785M/abstract","2022Quant...6..785M")</f>
        <v>2022Quant...6..785M</v>
      </c>
      <c r="B1448" s="2" t="str">
        <f>HYPERLINK("https://ui.adsabs.harvard.edu/abs/2021arXiv211211223M/abstract","2021arXiv211211223M")</f>
        <v>2021arXiv211211223M</v>
      </c>
      <c r="C1448" s="1" t="s">
        <v>70</v>
      </c>
      <c r="E1448" s="2" t="str">
        <f>HYPERLINK("https://ui.adsabs.harvard.edu/abs/2021arXiv211211223M/abstract","2021arXiv211211223M")</f>
        <v>2021arXiv211211223M</v>
      </c>
      <c r="G1448" s="1" t="s">
        <v>72</v>
      </c>
      <c r="H1448" s="1">
        <v>0.9961402</v>
      </c>
      <c r="I1448" s="1" t="s">
        <v>1041</v>
      </c>
    </row>
    <row r="1449">
      <c r="A1449" s="2" t="str">
        <f>HYPERLINK("https://ui.adsabs.harvard.edu/abs/2022Quant...6..786G/abstract","2022Quant...6..786G")</f>
        <v>2022Quant...6..786G</v>
      </c>
      <c r="B1449" s="2" t="str">
        <f>HYPERLINK("https://ui.adsabs.harvard.edu/abs/2022arXiv220413834G/abstract","2022arXiv220413834G")</f>
        <v>2022arXiv220413834G</v>
      </c>
      <c r="C1449" s="1" t="s">
        <v>70</v>
      </c>
      <c r="E1449" s="2" t="str">
        <f>HYPERLINK("https://ui.adsabs.harvard.edu/abs/2022arXiv220413834G/abstract","2022arXiv220413834G")</f>
        <v>2022arXiv220413834G</v>
      </c>
      <c r="G1449" s="1" t="s">
        <v>72</v>
      </c>
      <c r="H1449" s="1">
        <v>0.9961402</v>
      </c>
      <c r="I1449" s="1" t="s">
        <v>1041</v>
      </c>
    </row>
    <row r="1450">
      <c r="A1450" s="2" t="str">
        <f>HYPERLINK("https://ui.adsabs.harvard.edu/abs/2022Quant...6..787A/abstract","2022Quant...6..787A")</f>
        <v>2022Quant...6..787A</v>
      </c>
      <c r="B1450" s="2" t="str">
        <f>HYPERLINK("https://ui.adsabs.harvard.edu/abs/2022arXiv220410744A/abstract","2022arXiv220410744A")</f>
        <v>2022arXiv220410744A</v>
      </c>
      <c r="C1450" s="1" t="s">
        <v>70</v>
      </c>
      <c r="E1450" s="2" t="str">
        <f>HYPERLINK("https://ui.adsabs.harvard.edu/abs/2022arXiv220410744A/abstract","2022arXiv220410744A")</f>
        <v>2022arXiv220410744A</v>
      </c>
      <c r="G1450" s="1" t="s">
        <v>72</v>
      </c>
      <c r="H1450" s="1">
        <v>0.9961402</v>
      </c>
      <c r="I1450" s="1" t="s">
        <v>1041</v>
      </c>
    </row>
    <row r="1451">
      <c r="A1451" s="2" t="str">
        <f>HYPERLINK("https://ui.adsabs.harvard.edu/abs/2022Quant...6..788M/abstract","2022Quant...6..788M")</f>
        <v>2022Quant...6..788M</v>
      </c>
      <c r="B1451" s="2" t="str">
        <f>HYPERLINK("https://ui.adsabs.harvard.edu/abs/2021arXiv211003233M/abstract","2021arXiv211003233M")</f>
        <v>2021arXiv211003233M</v>
      </c>
      <c r="C1451" s="1" t="s">
        <v>70</v>
      </c>
      <c r="E1451" s="2" t="str">
        <f>HYPERLINK("https://ui.adsabs.harvard.edu/abs/2021arXiv211003233M/abstract","2021arXiv211003233M")</f>
        <v>2021arXiv211003233M</v>
      </c>
      <c r="G1451" s="1" t="s">
        <v>72</v>
      </c>
      <c r="H1451" s="1">
        <v>0.9961402</v>
      </c>
      <c r="I1451" s="1" t="s">
        <v>1041</v>
      </c>
    </row>
    <row r="1452">
      <c r="A1452" s="2" t="str">
        <f>HYPERLINK("https://ui.adsabs.harvard.edu/abs/2022Quant...6..790J/abstract","2022Quant...6..790J")</f>
        <v>2022Quant...6..790J</v>
      </c>
      <c r="B1452" s="2" t="str">
        <f>HYPERLINK("https://ui.adsabs.harvard.edu/abs/2021arXiv211106433J/abstract","2021arXiv211106433J")</f>
        <v>2021arXiv211106433J</v>
      </c>
      <c r="C1452" s="1" t="s">
        <v>70</v>
      </c>
      <c r="E1452" s="2" t="str">
        <f>HYPERLINK("https://ui.adsabs.harvard.edu/abs/2021arXiv211106433J/abstract","2021arXiv211106433J")</f>
        <v>2021arXiv211106433J</v>
      </c>
      <c r="G1452" s="1" t="s">
        <v>72</v>
      </c>
      <c r="H1452" s="1">
        <v>0.9961402</v>
      </c>
      <c r="I1452" s="1" t="s">
        <v>1041</v>
      </c>
    </row>
    <row r="1453">
      <c r="A1453" s="2" t="str">
        <f>HYPERLINK("https://ui.adsabs.harvard.edu/abs/2022Quant...6..791C/abstract","2022Quant...6..791C")</f>
        <v>2022Quant...6..791C</v>
      </c>
      <c r="B1453" s="2" t="str">
        <f>HYPERLINK("https://ui.adsabs.harvard.edu/abs/2021arXiv210713324C/abstract","2021arXiv210713324C")</f>
        <v>2021arXiv210713324C</v>
      </c>
      <c r="C1453" s="1" t="s">
        <v>70</v>
      </c>
      <c r="E1453" s="2" t="str">
        <f>HYPERLINK("https://ui.adsabs.harvard.edu/abs/2021arXiv210713324C/abstract","2021arXiv210713324C")</f>
        <v>2021arXiv210713324C</v>
      </c>
      <c r="G1453" s="1" t="s">
        <v>72</v>
      </c>
      <c r="H1453" s="1">
        <v>0.9961402</v>
      </c>
      <c r="I1453" s="1" t="s">
        <v>1041</v>
      </c>
    </row>
    <row r="1454">
      <c r="A1454" s="2" t="str">
        <f>HYPERLINK("https://ui.adsabs.harvard.edu/abs/2022Quant...6..792H/abstract","2022Quant...6..792H")</f>
        <v>2022Quant...6..792H</v>
      </c>
      <c r="B1454" s="2" t="str">
        <f>HYPERLINK("https://ui.adsabs.harvard.edu/abs/2021arXiv210403847H/abstract","2021arXiv210403847H")</f>
        <v>2021arXiv210403847H</v>
      </c>
      <c r="C1454" s="1" t="s">
        <v>70</v>
      </c>
      <c r="E1454" s="2" t="str">
        <f>HYPERLINK("https://ui.adsabs.harvard.edu/abs/2021arXiv210403847H/abstract","2021arXiv210403847H")</f>
        <v>2021arXiv210403847H</v>
      </c>
      <c r="G1454" s="1" t="s">
        <v>72</v>
      </c>
      <c r="H1454" s="1">
        <v>0.9961402</v>
      </c>
      <c r="I1454" s="1" t="s">
        <v>1041</v>
      </c>
    </row>
    <row r="1455">
      <c r="A1455" s="2" t="str">
        <f>HYPERLINK("https://ui.adsabs.harvard.edu/abs/2022Quant...6..793B/abstract","2022Quant...6..793B")</f>
        <v>2022Quant...6..793B</v>
      </c>
      <c r="B1455" s="2" t="str">
        <f>HYPERLINK("https://ui.adsabs.harvard.edu/abs/2021arXiv211011194B/abstract","2021arXiv211011194B")</f>
        <v>2021arXiv211011194B</v>
      </c>
      <c r="C1455" s="1" t="s">
        <v>70</v>
      </c>
      <c r="E1455" s="2" t="str">
        <f>HYPERLINK("https://ui.adsabs.harvard.edu/abs/2021arXiv211011194B/abstract","2021arXiv211011194B")</f>
        <v>2021arXiv211011194B</v>
      </c>
      <c r="G1455" s="1" t="s">
        <v>72</v>
      </c>
      <c r="H1455" s="1">
        <v>0.9961402</v>
      </c>
      <c r="I1455" s="1" t="s">
        <v>1041</v>
      </c>
    </row>
    <row r="1456">
      <c r="A1456" s="2" t="str">
        <f>HYPERLINK("https://ui.adsabs.harvard.edu/abs/2022Quant...6..796S/abstract","2022Quant...6..796S")</f>
        <v>2022Quant...6..796S</v>
      </c>
      <c r="B1456" s="2" t="str">
        <f>HYPERLINK("https://ui.adsabs.harvard.edu/abs/2022arXiv220204673S/abstract","2022arXiv220204673S")</f>
        <v>2022arXiv220204673S</v>
      </c>
      <c r="C1456" s="1" t="s">
        <v>70</v>
      </c>
      <c r="E1456" s="2" t="str">
        <f>HYPERLINK("https://ui.adsabs.harvard.edu/abs/2022arXiv220204673S/abstract","2022arXiv220204673S")</f>
        <v>2022arXiv220204673S</v>
      </c>
      <c r="G1456" s="1" t="s">
        <v>72</v>
      </c>
      <c r="H1456" s="1">
        <v>0.9961402</v>
      </c>
      <c r="I1456" s="1" t="s">
        <v>1041</v>
      </c>
    </row>
    <row r="1457">
      <c r="A1457" s="2" t="str">
        <f>HYPERLINK("https://ui.adsabs.harvard.edu/abs/2022Quant...6..797H/abstract","2022Quant...6..797H")</f>
        <v>2022Quant...6..797H</v>
      </c>
      <c r="B1457" s="2" t="str">
        <f>HYPERLINK("https://ui.adsabs.harvard.edu/abs/2021arXiv211110227H/abstract","2021arXiv211110227H")</f>
        <v>2021arXiv211110227H</v>
      </c>
      <c r="C1457" s="1" t="s">
        <v>70</v>
      </c>
      <c r="E1457" s="2" t="str">
        <f>HYPERLINK("https://ui.adsabs.harvard.edu/abs/2021arXiv211110227H/abstract","2021arXiv211110227H")</f>
        <v>2021arXiv211110227H</v>
      </c>
      <c r="G1457" s="1" t="s">
        <v>72</v>
      </c>
      <c r="H1457" s="1">
        <v>0.9961402</v>
      </c>
      <c r="I1457" s="1" t="s">
        <v>1041</v>
      </c>
    </row>
    <row r="1458">
      <c r="A1458" s="2" t="str">
        <f>HYPERLINK("https://ui.adsabs.harvard.edu/abs/2022Quant...6..798J/abstract","2022Quant...6..798J")</f>
        <v>2022Quant...6..798J</v>
      </c>
      <c r="B1458" s="2" t="str">
        <f>HYPERLINK("https://ui.adsabs.harvard.edu/abs/2022arXiv220902322J/abstract","2022arXiv220902322J")</f>
        <v>2022arXiv220902322J</v>
      </c>
      <c r="C1458" s="1" t="s">
        <v>70</v>
      </c>
      <c r="E1458" s="2" t="str">
        <f>HYPERLINK("https://ui.adsabs.harvard.edu/abs/2022arXiv220902322J/abstract","2022arXiv220902322J")</f>
        <v>2022arXiv220902322J</v>
      </c>
      <c r="G1458" s="1" t="s">
        <v>72</v>
      </c>
      <c r="H1458" s="1">
        <v>0.9961402</v>
      </c>
      <c r="I1458" s="1" t="s">
        <v>1041</v>
      </c>
    </row>
    <row r="1459">
      <c r="A1459" s="2" t="str">
        <f>HYPERLINK("https://ui.adsabs.harvard.edu/abs/2022Quant...6..799P/abstract","2022Quant...6..799P")</f>
        <v>2022Quant...6..799P</v>
      </c>
      <c r="B1459" s="2" t="str">
        <f>HYPERLINK("https://ui.adsabs.harvard.edu/abs/2021arXiv211007767P/abstract","2021arXiv211007767P")</f>
        <v>2021arXiv211007767P</v>
      </c>
      <c r="C1459" s="1" t="s">
        <v>70</v>
      </c>
      <c r="E1459" s="2" t="str">
        <f>HYPERLINK("https://ui.adsabs.harvard.edu/abs/2021arXiv211007767P/abstract","2021arXiv211007767P")</f>
        <v>2021arXiv211007767P</v>
      </c>
      <c r="G1459" s="1" t="s">
        <v>72</v>
      </c>
      <c r="H1459" s="1">
        <v>0.9961402</v>
      </c>
      <c r="I1459" s="1" t="s">
        <v>1041</v>
      </c>
    </row>
    <row r="1460">
      <c r="A1460" s="2" t="str">
        <f>HYPERLINK("https://ui.adsabs.harvard.edu/abs/2022Quant...6..800V/abstract","2022Quant...6..800V")</f>
        <v>2022Quant...6..800V</v>
      </c>
      <c r="B1460" s="2" t="str">
        <f>HYPERLINK("https://ui.adsabs.harvard.edu/abs/2022arXiv220209923V/abstract","2022arXiv220209923V")</f>
        <v>2022arXiv220209923V</v>
      </c>
      <c r="C1460" s="1" t="s">
        <v>70</v>
      </c>
      <c r="E1460" s="2" t="str">
        <f>HYPERLINK("https://ui.adsabs.harvard.edu/abs/2022arXiv220209923V/abstract","2022arXiv220209923V")</f>
        <v>2022arXiv220209923V</v>
      </c>
      <c r="G1460" s="1" t="s">
        <v>72</v>
      </c>
      <c r="H1460" s="1">
        <v>0.9961402</v>
      </c>
      <c r="I1460" s="1" t="s">
        <v>1041</v>
      </c>
    </row>
    <row r="1461">
      <c r="A1461" s="2" t="str">
        <f>HYPERLINK("https://ui.adsabs.harvard.edu/abs/2022Quant...6..801P/abstract","2022Quant...6..801P")</f>
        <v>2022Quant...6..801P</v>
      </c>
      <c r="B1461" s="2" t="str">
        <f>HYPERLINK("https://ui.adsabs.harvard.edu/abs/2022arXiv220205264P/abstract","2022arXiv220205264P")</f>
        <v>2022arXiv220205264P</v>
      </c>
      <c r="C1461" s="1" t="s">
        <v>70</v>
      </c>
      <c r="E1461" s="2" t="str">
        <f>HYPERLINK("https://ui.adsabs.harvard.edu/abs/2022arXiv220205264P/abstract","2022arXiv220205264P")</f>
        <v>2022arXiv220205264P</v>
      </c>
      <c r="G1461" s="1" t="s">
        <v>72</v>
      </c>
      <c r="H1461" s="1">
        <v>0.9961402</v>
      </c>
      <c r="I1461" s="1" t="s">
        <v>1041</v>
      </c>
    </row>
    <row r="1462">
      <c r="A1462" s="2" t="str">
        <f>HYPERLINK("https://ui.adsabs.harvard.edu/abs/2022Quant...6..802H/abstract","2022Quant...6..802H")</f>
        <v>2022Quant...6..802H</v>
      </c>
      <c r="B1462" s="2" t="str">
        <f>HYPERLINK("https://ui.adsabs.harvard.edu/abs/2021arXiv210913481H/abstract","2021arXiv210913481H")</f>
        <v>2021arXiv210913481H</v>
      </c>
      <c r="C1462" s="1" t="s">
        <v>70</v>
      </c>
      <c r="E1462" s="2" t="str">
        <f>HYPERLINK("https://ui.adsabs.harvard.edu/abs/2021arXiv210913481H/abstract","2021arXiv210913481H")</f>
        <v>2021arXiv210913481H</v>
      </c>
      <c r="G1462" s="1" t="s">
        <v>72</v>
      </c>
      <c r="H1462" s="1">
        <v>0.9961402</v>
      </c>
      <c r="I1462" s="1" t="s">
        <v>1041</v>
      </c>
    </row>
    <row r="1463">
      <c r="A1463" s="2" t="str">
        <f>HYPERLINK("https://ui.adsabs.harvard.edu/abs/2022Quant...6..805M/abstract","2022Quant...6..805M")</f>
        <v>2022Quant...6..805M</v>
      </c>
      <c r="B1463" s="2" t="str">
        <f>HYPERLINK("https://ui.adsabs.harvard.edu/abs/2022arXiv220513853M/abstract","2022arXiv220513853M")</f>
        <v>2022arXiv220513853M</v>
      </c>
      <c r="C1463" s="1" t="s">
        <v>70</v>
      </c>
      <c r="E1463" s="2" t="str">
        <f>HYPERLINK("https://ui.adsabs.harvard.edu/abs/2022arXiv220513853M/abstract","2022arXiv220513853M")</f>
        <v>2022arXiv220513853M</v>
      </c>
      <c r="G1463" s="1" t="s">
        <v>72</v>
      </c>
      <c r="H1463" s="1">
        <v>0.9961402</v>
      </c>
      <c r="I1463" s="1" t="s">
        <v>1041</v>
      </c>
    </row>
    <row r="1464">
      <c r="A1464" s="2" t="str">
        <f>HYPERLINK("https://ui.adsabs.harvard.edu/abs/2022Quant...6..806F/abstract","2022Quant...6..806F")</f>
        <v>2022Quant...6..806F</v>
      </c>
      <c r="B1464" s="2" t="str">
        <f>HYPERLINK("https://ui.adsabs.harvard.edu/abs/2021arXiv210107808F/abstract","2021arXiv210107808F")</f>
        <v>2021arXiv210107808F</v>
      </c>
      <c r="C1464" s="1" t="s">
        <v>70</v>
      </c>
      <c r="E1464" s="2" t="str">
        <f>HYPERLINK("https://ui.adsabs.harvard.edu/abs/2021arXiv210107808F/abstract","2021arXiv210107808F")</f>
        <v>2021arXiv210107808F</v>
      </c>
      <c r="G1464" s="1" t="s">
        <v>72</v>
      </c>
      <c r="H1464" s="1">
        <v>0.9961402</v>
      </c>
      <c r="I1464" s="1" t="s">
        <v>1041</v>
      </c>
    </row>
    <row r="1465">
      <c r="A1465" s="2" t="str">
        <f>HYPERLINK("https://ui.adsabs.harvard.edu/abs/2022Quant...6..807L/abstract","2022Quant...6..807L")</f>
        <v>2022Quant...6..807L</v>
      </c>
      <c r="B1465" s="2" t="str">
        <f>HYPERLINK("https://ui.adsabs.harvard.edu/abs/2021arXiv210702163L/abstract","2021arXiv210702163L")</f>
        <v>2021arXiv210702163L</v>
      </c>
      <c r="C1465" s="1" t="s">
        <v>70</v>
      </c>
      <c r="E1465" s="2" t="str">
        <f>HYPERLINK("https://ui.adsabs.harvard.edu/abs/2021arXiv210702163L/abstract","2021arXiv210702163L")</f>
        <v>2021arXiv210702163L</v>
      </c>
      <c r="G1465" s="1" t="s">
        <v>72</v>
      </c>
      <c r="H1465" s="1">
        <v>0.9961402</v>
      </c>
      <c r="I1465" s="1" t="s">
        <v>1041</v>
      </c>
    </row>
    <row r="1466">
      <c r="A1466" s="2" t="str">
        <f>HYPERLINK("https://ui.adsabs.harvard.edu/abs/2022Quant...6..808A/abstract","2022Quant...6..808A")</f>
        <v>2022Quant...6..808A</v>
      </c>
      <c r="B1466" s="2" t="str">
        <f>HYPERLINK("https://ui.adsabs.harvard.edu/abs/2022arXiv220402734A/abstract","2022arXiv220402734A")</f>
        <v>2022arXiv220402734A</v>
      </c>
      <c r="C1466" s="1" t="s">
        <v>70</v>
      </c>
      <c r="E1466" s="2" t="str">
        <f>HYPERLINK("https://ui.adsabs.harvard.edu/abs/2022arXiv220402734A/abstract","2022arXiv220402734A")</f>
        <v>2022arXiv220402734A</v>
      </c>
      <c r="G1466" s="1" t="s">
        <v>72</v>
      </c>
      <c r="H1466" s="1">
        <v>0.9961402</v>
      </c>
      <c r="I1466" s="1" t="s">
        <v>1041</v>
      </c>
    </row>
    <row r="1467">
      <c r="A1467" s="2" t="str">
        <f>HYPERLINK("https://ui.adsabs.harvard.edu/abs/2022Quant...6..809W/abstract","2022Quant...6..809W")</f>
        <v>2022Quant...6..809W</v>
      </c>
      <c r="B1467" s="2" t="str">
        <f>HYPERLINK("https://ui.adsabs.harvard.edu/abs/2021arXiv210714252W/abstract","2021arXiv210714252W")</f>
        <v>2021arXiv210714252W</v>
      </c>
      <c r="C1467" s="1" t="s">
        <v>70</v>
      </c>
      <c r="E1467" s="2" t="str">
        <f>HYPERLINK("https://ui.adsabs.harvard.edu/abs/2021arXiv210714252W/abstract","2021arXiv210714252W")</f>
        <v>2021arXiv210714252W</v>
      </c>
      <c r="G1467" s="1" t="s">
        <v>72</v>
      </c>
      <c r="H1467" s="1">
        <v>0.9961402</v>
      </c>
      <c r="I1467" s="1" t="s">
        <v>1041</v>
      </c>
    </row>
    <row r="1468">
      <c r="A1468" s="2" t="str">
        <f>HYPERLINK("https://ui.adsabs.harvard.edu/abs/2022Quant...6..811R/abstract","2022Quant...6..811R")</f>
        <v>2022Quant...6..811R</v>
      </c>
      <c r="B1468" s="2" t="str">
        <f>HYPERLINK("https://ui.adsabs.harvard.edu/abs/2022arXiv220506261R/abstract","2022arXiv220506261R")</f>
        <v>2022arXiv220506261R</v>
      </c>
      <c r="C1468" s="1" t="s">
        <v>70</v>
      </c>
      <c r="E1468" s="2" t="str">
        <f>HYPERLINK("https://ui.adsabs.harvard.edu/abs/2022arXiv220506261R/abstract","2022arXiv220506261R")</f>
        <v>2022arXiv220506261R</v>
      </c>
      <c r="G1468" s="1" t="s">
        <v>72</v>
      </c>
      <c r="H1468" s="1">
        <v>0.9961402</v>
      </c>
      <c r="I1468" s="1" t="s">
        <v>1041</v>
      </c>
    </row>
    <row r="1469">
      <c r="A1469" s="2" t="str">
        <f>HYPERLINK("https://ui.adsabs.harvard.edu/abs/2022Quant...6..812C/abstract","2022Quant...6..812C")</f>
        <v>2022Quant...6..812C</v>
      </c>
      <c r="B1469" s="2" t="str">
        <f>HYPERLINK("https://ui.adsabs.harvard.edu/abs/2022arXiv220207497C/abstract","2022arXiv220207497C")</f>
        <v>2022arXiv220207497C</v>
      </c>
      <c r="C1469" s="1" t="s">
        <v>70</v>
      </c>
      <c r="E1469" s="2" t="str">
        <f>HYPERLINK("https://ui.adsabs.harvard.edu/abs/2022arXiv220207497C/abstract","2022arXiv220207497C")</f>
        <v>2022arXiv220207497C</v>
      </c>
      <c r="G1469" s="1" t="s">
        <v>72</v>
      </c>
      <c r="H1469" s="1">
        <v>0.9961402</v>
      </c>
      <c r="I1469" s="1" t="s">
        <v>1041</v>
      </c>
    </row>
    <row r="1470">
      <c r="A1470" s="2" t="str">
        <f>HYPERLINK("https://ui.adsabs.harvard.edu/abs/2022Quant...6..813G/abstract","2022Quant...6..813G")</f>
        <v>2022Quant...6..813G</v>
      </c>
      <c r="B1470" s="2" t="str">
        <f>HYPERLINK("https://ui.adsabs.harvard.edu/abs/2022arXiv220211845G/abstract","2022arXiv220211845G")</f>
        <v>2022arXiv220211845G</v>
      </c>
      <c r="C1470" s="1" t="s">
        <v>70</v>
      </c>
      <c r="E1470" s="2" t="str">
        <f>HYPERLINK("https://ui.adsabs.harvard.edu/abs/2022arXiv220211845G/abstract","2022arXiv220211845G")</f>
        <v>2022arXiv220211845G</v>
      </c>
      <c r="G1470" s="1" t="s">
        <v>72</v>
      </c>
      <c r="H1470" s="1">
        <v>0.9961402</v>
      </c>
      <c r="I1470" s="1" t="s">
        <v>1041</v>
      </c>
    </row>
    <row r="1471">
      <c r="A1471" s="2" t="str">
        <f>HYPERLINK("https://ui.adsabs.harvard.edu/abs/2022Quant...6..814E/abstract","2022Quant...6..814E")</f>
        <v>2022Quant...6..814E</v>
      </c>
      <c r="B1471" s="2" t="str">
        <f>HYPERLINK("https://ui.adsabs.harvard.edu/abs/2022arXiv220308826E/abstract","2022arXiv220308826E")</f>
        <v>2022arXiv220308826E</v>
      </c>
      <c r="C1471" s="1" t="s">
        <v>70</v>
      </c>
      <c r="E1471" s="2" t="str">
        <f>HYPERLINK("https://ui.adsabs.harvard.edu/abs/2022arXiv220308826E/abstract","2022arXiv220308826E")</f>
        <v>2022arXiv220308826E</v>
      </c>
      <c r="G1471" s="1" t="s">
        <v>72</v>
      </c>
      <c r="H1471" s="1">
        <v>0.9961402</v>
      </c>
      <c r="I1471" s="1" t="s">
        <v>1041</v>
      </c>
    </row>
    <row r="1472">
      <c r="A1472" s="2" t="str">
        <f>HYPERLINK("https://ui.adsabs.harvard.edu/abs/2022Quant...6..815W/abstract","2022Quant...6..815W")</f>
        <v>2022Quant...6..815W</v>
      </c>
      <c r="B1472" s="2" t="str">
        <f>HYPERLINK("https://ui.adsabs.harvard.edu/abs/2022arXiv220300103W/abstract","2022arXiv220300103W")</f>
        <v>2022arXiv220300103W</v>
      </c>
      <c r="C1472" s="1" t="s">
        <v>70</v>
      </c>
      <c r="E1472" s="2" t="str">
        <f>HYPERLINK("https://ui.adsabs.harvard.edu/abs/2022arXiv220300103W/abstract","2022arXiv220300103W")</f>
        <v>2022arXiv220300103W</v>
      </c>
      <c r="G1472" s="1" t="s">
        <v>72</v>
      </c>
      <c r="H1472" s="1">
        <v>0.9961402</v>
      </c>
      <c r="I1472" s="1" t="s">
        <v>1041</v>
      </c>
    </row>
    <row r="1473">
      <c r="A1473" s="2" t="str">
        <f>HYPERLINK("https://ui.adsabs.harvard.edu/abs/2022Quant...6..816T/abstract","2022Quant...6..816T")</f>
        <v>2022Quant...6..816T</v>
      </c>
      <c r="B1473" s="2" t="str">
        <f>HYPERLINK("https://ui.adsabs.harvard.edu/abs/2021arXiv211006942T/abstract","2021arXiv211006942T")</f>
        <v>2021arXiv211006942T</v>
      </c>
      <c r="C1473" s="1" t="s">
        <v>70</v>
      </c>
      <c r="E1473" s="2" t="str">
        <f>HYPERLINK("https://ui.adsabs.harvard.edu/abs/2021arXiv211006942T/abstract","2021arXiv211006942T")</f>
        <v>2021arXiv211006942T</v>
      </c>
      <c r="G1473" s="1" t="s">
        <v>72</v>
      </c>
      <c r="H1473" s="1">
        <v>0.9961402</v>
      </c>
      <c r="I1473" s="1" t="s">
        <v>1041</v>
      </c>
    </row>
    <row r="1474">
      <c r="A1474" s="2" t="str">
        <f>HYPERLINK("https://ui.adsabs.harvard.edu/abs/2022Quant...6..817R/abstract","2022Quant...6..817R")</f>
        <v>2022Quant...6..817R</v>
      </c>
      <c r="B1474" s="2" t="str">
        <f>HYPERLINK("https://ui.adsabs.harvard.edu/abs/2021arXiv211211321R/abstract","2021arXiv211211321R")</f>
        <v>2021arXiv211211321R</v>
      </c>
      <c r="C1474" s="1" t="s">
        <v>70</v>
      </c>
      <c r="E1474" s="2" t="str">
        <f>HYPERLINK("https://ui.adsabs.harvard.edu/abs/2021arXiv211211321R/abstract","2021arXiv211211321R")</f>
        <v>2021arXiv211211321R</v>
      </c>
      <c r="G1474" s="1" t="s">
        <v>72</v>
      </c>
      <c r="H1474" s="1">
        <v>0.9961402</v>
      </c>
      <c r="I1474" s="1" t="s">
        <v>1041</v>
      </c>
    </row>
    <row r="1475">
      <c r="A1475" s="2" t="str">
        <f>HYPERLINK("https://ui.adsabs.harvard.edu/abs/2022Quant...6..818T/abstract","2022Quant...6..818T")</f>
        <v>2022Quant...6..818T</v>
      </c>
      <c r="B1475" s="2" t="str">
        <f>HYPERLINK("https://ui.adsabs.harvard.edu/abs/2022arXiv220202648T/abstract","2022arXiv220202648T")</f>
        <v>2022arXiv220202648T</v>
      </c>
      <c r="C1475" s="1" t="s">
        <v>70</v>
      </c>
      <c r="E1475" s="2" t="str">
        <f>HYPERLINK("https://ui.adsabs.harvard.edu/abs/2022arXiv220202648T/abstract","2022arXiv220202648T")</f>
        <v>2022arXiv220202648T</v>
      </c>
      <c r="G1475" s="1" t="s">
        <v>72</v>
      </c>
      <c r="H1475" s="1">
        <v>0.9961402</v>
      </c>
      <c r="I1475" s="1" t="s">
        <v>1041</v>
      </c>
    </row>
    <row r="1476">
      <c r="A1476" s="2" t="str">
        <f>HYPERLINK("https://ui.adsabs.harvard.edu/abs/2022Quant...6..821L/abstract","2022Quant...6..821L")</f>
        <v>2022Quant...6..821L</v>
      </c>
      <c r="B1476" s="2" t="str">
        <f>HYPERLINK("https://ui.adsabs.harvard.edu/abs/2022arXiv220500341L/abstract","2022arXiv220500341L")</f>
        <v>2022arXiv220500341L</v>
      </c>
      <c r="C1476" s="1" t="s">
        <v>70</v>
      </c>
      <c r="E1476" s="2" t="str">
        <f>HYPERLINK("https://ui.adsabs.harvard.edu/abs/2022arXiv220500341L/abstract","2022arXiv220500341L")</f>
        <v>2022arXiv220500341L</v>
      </c>
      <c r="G1476" s="1" t="s">
        <v>72</v>
      </c>
      <c r="H1476" s="1">
        <v>0.9961402</v>
      </c>
      <c r="I1476" s="1" t="s">
        <v>1041</v>
      </c>
    </row>
    <row r="1477">
      <c r="A1477" s="2" t="str">
        <f>HYPERLINK("https://ui.adsabs.harvard.edu/abs/2022Quant...6..822N/abstract","2022Quant...6..822N")</f>
        <v>2022Quant...6..822N</v>
      </c>
      <c r="B1477" s="2" t="str">
        <f>HYPERLINK("https://ui.adsabs.harvard.edu/abs/2021arXiv210707756N/abstract","2021arXiv210707756N")</f>
        <v>2021arXiv210707756N</v>
      </c>
      <c r="C1477" s="1" t="s">
        <v>70</v>
      </c>
      <c r="E1477" s="2" t="str">
        <f>HYPERLINK("https://ui.adsabs.harvard.edu/abs/2021arXiv210707756N/abstract","2021arXiv210707756N")</f>
        <v>2021arXiv210707756N</v>
      </c>
      <c r="G1477" s="1" t="s">
        <v>72</v>
      </c>
      <c r="H1477" s="1">
        <v>0.9961402</v>
      </c>
      <c r="I1477" s="1" t="s">
        <v>1041</v>
      </c>
    </row>
    <row r="1478">
      <c r="A1478" s="2" t="str">
        <f>HYPERLINK("https://ui.adsabs.harvard.edu/abs/2022Quant...6..823H/abstract","2022Quant...6..823H")</f>
        <v>2022Quant...6..823H</v>
      </c>
      <c r="B1478" s="2" t="str">
        <f>HYPERLINK("https://ui.adsabs.harvard.edu/abs/2021arXiv210509100H/abstract","2021arXiv210509100H")</f>
        <v>2021arXiv210509100H</v>
      </c>
      <c r="C1478" s="1" t="s">
        <v>70</v>
      </c>
      <c r="E1478" s="2" t="str">
        <f>HYPERLINK("https://ui.adsabs.harvard.edu/abs/2021arXiv210509100H/abstract","2021arXiv210509100H")</f>
        <v>2021arXiv210509100H</v>
      </c>
      <c r="G1478" s="1" t="s">
        <v>72</v>
      </c>
      <c r="H1478" s="1">
        <v>0.9961402</v>
      </c>
      <c r="I1478" s="1" t="s">
        <v>1041</v>
      </c>
    </row>
    <row r="1479">
      <c r="A1479" s="2" t="str">
        <f>HYPERLINK("https://ui.adsabs.harvard.edu/abs/2022Quant...6..824L/abstract","2022Quant...6..824L")</f>
        <v>2022Quant...6..824L</v>
      </c>
      <c r="B1479" s="2" t="str">
        <f>HYPERLINK("https://ui.adsabs.harvard.edu/abs/2021arXiv210514377L/abstract","2021arXiv210514377L")</f>
        <v>2021arXiv210514377L</v>
      </c>
      <c r="C1479" s="1" t="s">
        <v>70</v>
      </c>
      <c r="E1479" s="2" t="str">
        <f>HYPERLINK("https://ui.adsabs.harvard.edu/abs/2021arXiv210514377L/abstract","2021arXiv210514377L")</f>
        <v>2021arXiv210514377L</v>
      </c>
      <c r="G1479" s="1" t="s">
        <v>72</v>
      </c>
      <c r="H1479" s="1">
        <v>0.9961402</v>
      </c>
      <c r="I1479" s="1" t="s">
        <v>1041</v>
      </c>
    </row>
    <row r="1480">
      <c r="A1480" s="2" t="str">
        <f>HYPERLINK("https://ui.adsabs.harvard.edu/abs/2022Quant...6..825H/abstract","2022Quant...6..825H")</f>
        <v>2022Quant...6..825H</v>
      </c>
      <c r="B1480" s="2" t="str">
        <f>HYPERLINK("https://ui.adsabs.harvard.edu/abs/2022arXiv220308882H/abstract","2022arXiv220308882H")</f>
        <v>2022arXiv220308882H</v>
      </c>
      <c r="C1480" s="1" t="s">
        <v>70</v>
      </c>
      <c r="E1480" s="2" t="str">
        <f>HYPERLINK("https://ui.adsabs.harvard.edu/abs/2022arXiv220308882H/abstract","2022arXiv220308882H")</f>
        <v>2022arXiv220308882H</v>
      </c>
      <c r="G1480" s="1" t="s">
        <v>72</v>
      </c>
      <c r="H1480" s="1">
        <v>0.9961402</v>
      </c>
      <c r="I1480" s="1" t="s">
        <v>1041</v>
      </c>
    </row>
    <row r="1481">
      <c r="A1481" s="2" t="str">
        <f>HYPERLINK("https://ui.adsabs.harvard.edu/abs/2022Quant...6..827R/abstract","2022Quant...6..827R")</f>
        <v>2022Quant...6..827R</v>
      </c>
      <c r="B1481" s="2" t="str">
        <f>HYPERLINK("https://ui.adsabs.harvard.edu/abs/2022arXiv220316125R/abstract","2022arXiv220316125R")</f>
        <v>2022arXiv220316125R</v>
      </c>
      <c r="C1481" s="1" t="s">
        <v>70</v>
      </c>
      <c r="E1481" s="2" t="str">
        <f>HYPERLINK("https://ui.adsabs.harvard.edu/abs/2022arXiv220316125R/abstract","2022arXiv220316125R")</f>
        <v>2022arXiv220316125R</v>
      </c>
      <c r="G1481" s="1" t="s">
        <v>72</v>
      </c>
      <c r="H1481" s="1">
        <v>0.9961402</v>
      </c>
      <c r="I1481" s="1" t="s">
        <v>1041</v>
      </c>
    </row>
    <row r="1482">
      <c r="A1482" s="2" t="str">
        <f>HYPERLINK("https://ui.adsabs.harvard.edu/abs/2022Quant...6..828C/abstract","2022Quant...6..828C")</f>
        <v>2022Quant...6..828C</v>
      </c>
      <c r="B1482" s="2" t="str">
        <f>HYPERLINK("https://ui.adsabs.harvard.edu/abs/2022arXiv220403560C/abstract","2022arXiv220403560C")</f>
        <v>2022arXiv220403560C</v>
      </c>
      <c r="C1482" s="1" t="s">
        <v>70</v>
      </c>
      <c r="E1482" s="2" t="str">
        <f>HYPERLINK("https://ui.adsabs.harvard.edu/abs/2022arXiv220403560C/abstract","2022arXiv220403560C")</f>
        <v>2022arXiv220403560C</v>
      </c>
      <c r="G1482" s="1" t="s">
        <v>72</v>
      </c>
      <c r="H1482" s="1">
        <v>0.9961402</v>
      </c>
      <c r="I1482" s="1" t="s">
        <v>1041</v>
      </c>
    </row>
    <row r="1483">
      <c r="A1483" s="2" t="str">
        <f>HYPERLINK("https://ui.adsabs.harvard.edu/abs/2022Quant...6..829W/abstract","2022Quant...6..829W")</f>
        <v>2022Quant...6..829W</v>
      </c>
      <c r="B1483" s="2" t="str">
        <f>HYPERLINK("https://ui.adsabs.harvard.edu/abs/2022arXiv220206978W/abstract","2022arXiv220206978W")</f>
        <v>2022arXiv220206978W</v>
      </c>
      <c r="C1483" s="1" t="s">
        <v>70</v>
      </c>
      <c r="E1483" s="2" t="str">
        <f>HYPERLINK("https://ui.adsabs.harvard.edu/abs/2022arXiv220206978W/abstract","2022arXiv220206978W")</f>
        <v>2022arXiv220206978W</v>
      </c>
      <c r="G1483" s="1" t="s">
        <v>72</v>
      </c>
      <c r="H1483" s="1">
        <v>0.9961402</v>
      </c>
      <c r="I1483" s="1" t="s">
        <v>1041</v>
      </c>
    </row>
    <row r="1484">
      <c r="A1484" s="2" t="str">
        <f>HYPERLINK("https://ui.adsabs.harvard.edu/abs/2022Quant...6..830D/abstract","2022Quant...6..830D")</f>
        <v>2022Quant...6..830D</v>
      </c>
      <c r="B1484" s="2" t="str">
        <f>HYPERLINK("https://ui.adsabs.harvard.edu/abs/2021arXiv210704605D/abstract","2021arXiv210704605D")</f>
        <v>2021arXiv210704605D</v>
      </c>
      <c r="C1484" s="1" t="s">
        <v>70</v>
      </c>
      <c r="E1484" s="2" t="str">
        <f>HYPERLINK("https://ui.adsabs.harvard.edu/abs/2021arXiv210704605D/abstract","2021arXiv210704605D")</f>
        <v>2021arXiv210704605D</v>
      </c>
      <c r="G1484" s="1" t="s">
        <v>72</v>
      </c>
      <c r="H1484" s="1">
        <v>0.9961402</v>
      </c>
      <c r="I1484" s="1" t="s">
        <v>1041</v>
      </c>
    </row>
    <row r="1485">
      <c r="A1485" s="2" t="str">
        <f>HYPERLINK("https://ui.adsabs.harvard.edu/abs/2022Quant...6..831C/abstract","2022Quant...6..831C")</f>
        <v>2022Quant...6..831C</v>
      </c>
      <c r="B1485" s="2" t="str">
        <f>HYPERLINK("https://ui.adsabs.harvard.edu/abs/2021arXiv211100117C/abstract","2021arXiv211100117C")</f>
        <v>2021arXiv211100117C</v>
      </c>
      <c r="C1485" s="1" t="s">
        <v>70</v>
      </c>
      <c r="E1485" s="2" t="str">
        <f>HYPERLINK("https://ui.adsabs.harvard.edu/abs/2021arXiv211100117C/abstract","2021arXiv211100117C")</f>
        <v>2021arXiv211100117C</v>
      </c>
      <c r="G1485" s="1" t="s">
        <v>72</v>
      </c>
      <c r="H1485" s="1">
        <v>0.9961402</v>
      </c>
      <c r="I1485" s="1" t="s">
        <v>1041</v>
      </c>
    </row>
    <row r="1486">
      <c r="A1486" s="2" t="str">
        <f>HYPERLINK("https://ui.adsabs.harvard.edu/abs/2022Quant...6..832M/abstract","2022Quant...6..832M")</f>
        <v>2022Quant...6..832M</v>
      </c>
      <c r="B1486" s="2" t="str">
        <f>HYPERLINK("https://ui.adsabs.harvard.edu/abs/2022arXiv220400324M/abstract","2022arXiv220400324M")</f>
        <v>2022arXiv220400324M</v>
      </c>
      <c r="C1486" s="1" t="s">
        <v>70</v>
      </c>
      <c r="E1486" s="2" t="str">
        <f>HYPERLINK("https://ui.adsabs.harvard.edu/abs/2022arXiv220400324M/abstract","2022arXiv220400324M")</f>
        <v>2022arXiv220400324M</v>
      </c>
      <c r="G1486" s="1" t="s">
        <v>72</v>
      </c>
      <c r="H1486" s="1">
        <v>0.9961402</v>
      </c>
      <c r="I1486" s="1" t="s">
        <v>1041</v>
      </c>
    </row>
    <row r="1487">
      <c r="A1487" s="2" t="str">
        <f>HYPERLINK("https://ui.adsabs.harvard.edu/abs/2022Quant...6..833N/abstract","2022Quant...6..833N")</f>
        <v>2022Quant...6..833N</v>
      </c>
      <c r="B1487" s="2" t="str">
        <f>HYPERLINK("https://ui.adsabs.harvard.edu/abs/2022arXiv220500733N/abstract","2022arXiv220500733N")</f>
        <v>2022arXiv220500733N</v>
      </c>
      <c r="C1487" s="1" t="s">
        <v>70</v>
      </c>
      <c r="E1487" s="2" t="str">
        <f>HYPERLINK("https://ui.adsabs.harvard.edu/abs/2022arXiv220500733N/abstract","2022arXiv220500733N")</f>
        <v>2022arXiv220500733N</v>
      </c>
      <c r="G1487" s="1" t="s">
        <v>72</v>
      </c>
      <c r="H1487" s="1">
        <v>0.9961402</v>
      </c>
      <c r="I1487" s="1" t="s">
        <v>1041</v>
      </c>
    </row>
    <row r="1488">
      <c r="A1488" s="2" t="str">
        <f>HYPERLINK("https://ui.adsabs.harvard.edu/abs/2022Quant...6..836C/abstract","2022Quant...6..836C")</f>
        <v>2022Quant...6..836C</v>
      </c>
      <c r="B1488" s="2" t="str">
        <f>HYPERLINK("https://ui.adsabs.harvard.edu/abs/2021arXiv210913273C/abstract","2021arXiv210913273C")</f>
        <v>2021arXiv210913273C</v>
      </c>
      <c r="C1488" s="1" t="s">
        <v>70</v>
      </c>
      <c r="E1488" s="2" t="str">
        <f>HYPERLINK("https://ui.adsabs.harvard.edu/abs/2021arXiv210913273C/abstract","2021arXiv210913273C")</f>
        <v>2021arXiv210913273C</v>
      </c>
      <c r="G1488" s="1" t="s">
        <v>72</v>
      </c>
      <c r="H1488" s="1">
        <v>0.9961402</v>
      </c>
      <c r="I1488" s="1" t="s">
        <v>1041</v>
      </c>
    </row>
    <row r="1489">
      <c r="A1489" s="2" t="str">
        <f>HYPERLINK("https://ui.adsabs.harvard.edu/abs/2022Quant...6..837G/abstract","2022Quant...6..837G")</f>
        <v>2022Quant...6..837G</v>
      </c>
      <c r="B1489" s="2" t="str">
        <f>HYPERLINK("https://ui.adsabs.harvard.edu/abs/2022arXiv220105266G/abstract","2022arXiv220105266G")</f>
        <v>2022arXiv220105266G</v>
      </c>
      <c r="C1489" s="1" t="s">
        <v>70</v>
      </c>
      <c r="E1489" s="2" t="str">
        <f>HYPERLINK("https://ui.adsabs.harvard.edu/abs/2022arXiv220105266G/abstract","2022arXiv220105266G")</f>
        <v>2022arXiv220105266G</v>
      </c>
      <c r="G1489" s="1" t="s">
        <v>72</v>
      </c>
      <c r="H1489" s="1">
        <v>0.9961402</v>
      </c>
      <c r="I1489" s="1" t="s">
        <v>1041</v>
      </c>
    </row>
    <row r="1490">
      <c r="A1490" s="2" t="str">
        <f>HYPERLINK("https://ui.adsabs.harvard.edu/abs/2022Quant...6..838K/abstract","2022Quant...6..838K")</f>
        <v>2022Quant...6..838K</v>
      </c>
      <c r="B1490" s="2" t="str">
        <f>HYPERLINK("https://ui.adsabs.harvard.edu/abs/2022arXiv220212114K/abstract","2022arXiv220212114K")</f>
        <v>2022arXiv220212114K</v>
      </c>
      <c r="C1490" s="1" t="s">
        <v>70</v>
      </c>
      <c r="E1490" s="2" t="str">
        <f>HYPERLINK("https://ui.adsabs.harvard.edu/abs/2022arXiv220212114K/abstract","2022arXiv220212114K")</f>
        <v>2022arXiv220212114K</v>
      </c>
      <c r="G1490" s="1" t="s">
        <v>72</v>
      </c>
      <c r="H1490" s="1">
        <v>0.9961402</v>
      </c>
      <c r="I1490" s="1" t="s">
        <v>1041</v>
      </c>
    </row>
    <row r="1491">
      <c r="A1491" s="2" t="str">
        <f>HYPERLINK("https://ui.adsabs.harvard.edu/abs/2022Quant...6..840P/abstract","2022Quant...6..840P")</f>
        <v>2022Quant...6..840P</v>
      </c>
      <c r="B1491" s="2" t="str">
        <f>HYPERLINK("https://ui.adsabs.harvard.edu/abs/2022arXiv220304870P/abstract","2022arXiv220304870P")</f>
        <v>2022arXiv220304870P</v>
      </c>
      <c r="C1491" s="1" t="s">
        <v>70</v>
      </c>
      <c r="E1491" s="2" t="str">
        <f>HYPERLINK("https://ui.adsabs.harvard.edu/abs/2022arXiv220304870P/abstract","2022arXiv220304870P")</f>
        <v>2022arXiv220304870P</v>
      </c>
      <c r="G1491" s="1" t="s">
        <v>72</v>
      </c>
      <c r="H1491" s="1">
        <v>0.9961402</v>
      </c>
      <c r="I1491" s="1" t="s">
        <v>1041</v>
      </c>
    </row>
    <row r="1492">
      <c r="A1492" s="2" t="str">
        <f>HYPERLINK("https://ui.adsabs.harvard.edu/abs/2022Quant...6..841B/abstract","2022Quant...6..841B")</f>
        <v>2022Quant...6..841B</v>
      </c>
      <c r="B1492" s="2" t="str">
        <f>HYPERLINK("https://ui.adsabs.harvard.edu/abs/2022arXiv220506455B/abstract","2022arXiv220506455B")</f>
        <v>2022arXiv220506455B</v>
      </c>
      <c r="C1492" s="1" t="s">
        <v>70</v>
      </c>
      <c r="E1492" s="2" t="str">
        <f>HYPERLINK("https://ui.adsabs.harvard.edu/abs/2022arXiv220506455B/abstract","2022arXiv220506455B")</f>
        <v>2022arXiv220506455B</v>
      </c>
      <c r="G1492" s="1" t="s">
        <v>72</v>
      </c>
      <c r="H1492" s="1">
        <v>0.9961402</v>
      </c>
      <c r="I1492" s="1" t="s">
        <v>1041</v>
      </c>
    </row>
    <row r="1493">
      <c r="A1493" s="2" t="str">
        <f>HYPERLINK("https://ui.adsabs.harvard.edu/abs/2022Quant...6..842Y/abstract","2022Quant...6..842Y")</f>
        <v>2022Quant...6..842Y</v>
      </c>
      <c r="B1493" s="2" t="str">
        <f>HYPERLINK("https://ui.adsabs.harvard.edu/abs/2022arXiv220202671Y/abstract","2022arXiv220202671Y")</f>
        <v>2022arXiv220202671Y</v>
      </c>
      <c r="C1493" s="1" t="s">
        <v>70</v>
      </c>
      <c r="E1493" s="2" t="str">
        <f>HYPERLINK("https://ui.adsabs.harvard.edu/abs/2022arXiv220202671Y/abstract","2022arXiv220202671Y")</f>
        <v>2022arXiv220202671Y</v>
      </c>
      <c r="G1493" s="1" t="s">
        <v>72</v>
      </c>
      <c r="H1493" s="1">
        <v>0.9961402</v>
      </c>
      <c r="I1493" s="1" t="s">
        <v>1041</v>
      </c>
    </row>
    <row r="1494">
      <c r="A1494" s="2" t="str">
        <f>HYPERLINK("https://ui.adsabs.harvard.edu/abs/2022Quant...6..843M/abstract","2022Quant...6..843M")</f>
        <v>2022Quant...6..843M</v>
      </c>
      <c r="B1494" s="2" t="str">
        <f>HYPERLINK("https://ui.adsabs.harvard.edu/abs/2021arXiv210708894M/abstract","2021arXiv210708894M")</f>
        <v>2021arXiv210708894M</v>
      </c>
      <c r="C1494" s="1" t="s">
        <v>70</v>
      </c>
      <c r="E1494" s="2" t="str">
        <f>HYPERLINK("https://ui.adsabs.harvard.edu/abs/2021arXiv210708894M/abstract","2021arXiv210708894M")</f>
        <v>2021arXiv210708894M</v>
      </c>
      <c r="G1494" s="1" t="s">
        <v>72</v>
      </c>
      <c r="H1494" s="1">
        <v>0.9961402</v>
      </c>
      <c r="I1494" s="1" t="s">
        <v>1041</v>
      </c>
    </row>
    <row r="1495">
      <c r="A1495" s="2" t="str">
        <f>HYPERLINK("https://ui.adsabs.harvard.edu/abs/2022Quant...6..844S/abstract","2022Quant...6..844S")</f>
        <v>2022Quant...6..844S</v>
      </c>
      <c r="B1495" s="2" t="str">
        <f>HYPERLINK("https://ui.adsabs.harvard.edu/abs/2021arXiv210701060S/abstract","2021arXiv210701060S")</f>
        <v>2021arXiv210701060S</v>
      </c>
      <c r="C1495" s="1" t="s">
        <v>70</v>
      </c>
      <c r="E1495" s="2" t="str">
        <f>HYPERLINK("https://ui.adsabs.harvard.edu/abs/2021arXiv210701060S/abstract","2021arXiv210701060S")</f>
        <v>2021arXiv210701060S</v>
      </c>
      <c r="G1495" s="1" t="s">
        <v>72</v>
      </c>
      <c r="H1495" s="1">
        <v>0.9961402</v>
      </c>
      <c r="I1495" s="1" t="s">
        <v>1041</v>
      </c>
    </row>
    <row r="1496">
      <c r="A1496" s="2" t="str">
        <f>HYPERLINK("https://ui.adsabs.harvard.edu/abs/2022Quant...6..845L/abstract","2022Quant...6..845L")</f>
        <v>2022Quant...6..845L</v>
      </c>
      <c r="B1496" s="2" t="str">
        <f>HYPERLINK("https://ui.adsabs.harvard.edu/abs/2022arXiv220314244L/abstract","2022arXiv220314244L")</f>
        <v>2022arXiv220314244L</v>
      </c>
      <c r="C1496" s="1" t="s">
        <v>70</v>
      </c>
      <c r="E1496" s="2" t="str">
        <f>HYPERLINK("https://ui.adsabs.harvard.edu/abs/2022arXiv220314244L/abstract","2022arXiv220314244L")</f>
        <v>2022arXiv220314244L</v>
      </c>
      <c r="G1496" s="1" t="s">
        <v>72</v>
      </c>
      <c r="H1496" s="1">
        <v>0.9961402</v>
      </c>
      <c r="I1496" s="1" t="s">
        <v>1041</v>
      </c>
    </row>
    <row r="1497">
      <c r="A1497" s="2" t="str">
        <f>HYPERLINK("https://ui.adsabs.harvard.edu/abs/2022Quant...6..846E/abstract","2022Quant...6..846E")</f>
        <v>2022Quant...6..846E</v>
      </c>
      <c r="B1497" s="2" t="str">
        <f>HYPERLINK("https://ui.adsabs.harvard.edu/abs/2022arXiv220304202E/abstract","2022arXiv220304202E")</f>
        <v>2022arXiv220304202E</v>
      </c>
      <c r="C1497" s="1" t="s">
        <v>70</v>
      </c>
      <c r="E1497" s="2" t="str">
        <f>HYPERLINK("https://ui.adsabs.harvard.edu/abs/2022arXiv220304202E/abstract","2022arXiv220304202E")</f>
        <v>2022arXiv220304202E</v>
      </c>
      <c r="G1497" s="1" t="s">
        <v>72</v>
      </c>
      <c r="H1497" s="1">
        <v>0.9961402</v>
      </c>
      <c r="I1497" s="1" t="s">
        <v>1041</v>
      </c>
    </row>
    <row r="1498">
      <c r="A1498" s="2" t="str">
        <f>HYPERLINK("https://ui.adsabs.harvard.edu/abs/2022Quant...6..847G/abstract","2022Quant...6..847G")</f>
        <v>2022Quant...6..847G</v>
      </c>
      <c r="B1498" s="2" t="str">
        <f>HYPERLINK("https://ui.adsabs.harvard.edu/abs/2021arXiv210604212G/abstract","2021arXiv210604212G")</f>
        <v>2021arXiv210604212G</v>
      </c>
      <c r="C1498" s="1" t="s">
        <v>70</v>
      </c>
      <c r="E1498" s="2" t="str">
        <f>HYPERLINK("https://ui.adsabs.harvard.edu/abs/2021arXiv210604212G/abstract","2021arXiv210604212G")</f>
        <v>2021arXiv210604212G</v>
      </c>
      <c r="G1498" s="1" t="s">
        <v>72</v>
      </c>
      <c r="H1498" s="1">
        <v>0.9961402</v>
      </c>
      <c r="I1498" s="1" t="s">
        <v>1041</v>
      </c>
    </row>
    <row r="1499">
      <c r="A1499" s="2" t="str">
        <f>HYPERLINK("https://ui.adsabs.harvard.edu/abs/2022Quant...6..848G/abstract","2022Quant...6..848G")</f>
        <v>2022Quant...6..848G</v>
      </c>
      <c r="B1499" s="2" t="str">
        <f>HYPERLINK("https://ui.adsabs.harvard.edu/abs/2022arXiv220613917G/abstract","2022arXiv220613917G")</f>
        <v>2022arXiv220613917G</v>
      </c>
      <c r="C1499" s="1" t="s">
        <v>70</v>
      </c>
      <c r="E1499" s="2" t="str">
        <f>HYPERLINK("https://ui.adsabs.harvard.edu/abs/2022arXiv220613917G/abstract","2022arXiv220613917G")</f>
        <v>2022arXiv220613917G</v>
      </c>
      <c r="G1499" s="1" t="s">
        <v>72</v>
      </c>
      <c r="H1499" s="1">
        <v>0.9961402</v>
      </c>
      <c r="I1499" s="1" t="s">
        <v>1041</v>
      </c>
    </row>
    <row r="1500">
      <c r="A1500" s="2" t="str">
        <f>HYPERLINK("https://ui.adsabs.harvard.edu/abs/2022Quant...6..849J/abstract","2022Quant...6..849J")</f>
        <v>2022Quant...6..849J</v>
      </c>
      <c r="B1500" s="2" t="str">
        <f>HYPERLINK("https://ui.adsabs.harvard.edu/abs/2021arXiv211102166J/abstract","2021arXiv211102166J")</f>
        <v>2021arXiv211102166J</v>
      </c>
      <c r="C1500" s="1" t="s">
        <v>70</v>
      </c>
      <c r="E1500" s="2" t="str">
        <f>HYPERLINK("https://ui.adsabs.harvard.edu/abs/2021arXiv211102166J/abstract","2021arXiv211102166J")</f>
        <v>2021arXiv211102166J</v>
      </c>
      <c r="G1500" s="1" t="s">
        <v>72</v>
      </c>
      <c r="H1500" s="1">
        <v>0.9961402</v>
      </c>
      <c r="I1500" s="1" t="s">
        <v>1041</v>
      </c>
    </row>
    <row r="1501">
      <c r="A1501" s="2" t="str">
        <f>HYPERLINK("https://ui.adsabs.harvard.edu/abs/2022Quant...6..850W/abstract","2022Quant...6..850W")</f>
        <v>2022Quant...6..850W</v>
      </c>
      <c r="B1501" s="2" t="str">
        <f>HYPERLINK("https://ui.adsabs.harvard.edu/abs/2021arXiv211004993W/abstract","2021arXiv211004993W")</f>
        <v>2021arXiv211004993W</v>
      </c>
      <c r="C1501" s="1" t="s">
        <v>70</v>
      </c>
      <c r="E1501" s="2" t="str">
        <f>HYPERLINK("https://ui.adsabs.harvard.edu/abs/2021arXiv211004993W/abstract","2021arXiv211004993W")</f>
        <v>2021arXiv211004993W</v>
      </c>
      <c r="G1501" s="1" t="s">
        <v>72</v>
      </c>
      <c r="H1501" s="1">
        <v>0.9961402</v>
      </c>
      <c r="I1501" s="1" t="s">
        <v>1041</v>
      </c>
    </row>
    <row r="1502">
      <c r="A1502" s="2" t="str">
        <f>HYPERLINK("https://ui.adsabs.harvard.edu/abs/2022Quant...6..851C/abstract","2022Quant...6..851C")</f>
        <v>2022Quant...6..851C</v>
      </c>
      <c r="B1502" s="2" t="str">
        <f>HYPERLINK("https://ui.adsabs.harvard.edu/abs/2021arXiv211008293C/abstract","2021arXiv211008293C")</f>
        <v>2021arXiv211008293C</v>
      </c>
      <c r="C1502" s="1" t="s">
        <v>70</v>
      </c>
      <c r="E1502" s="2" t="str">
        <f>HYPERLINK("https://ui.adsabs.harvard.edu/abs/2021arXiv211008293C/abstract","2021arXiv211008293C")</f>
        <v>2021arXiv211008293C</v>
      </c>
      <c r="G1502" s="1" t="s">
        <v>72</v>
      </c>
      <c r="H1502" s="1">
        <v>0.9961402</v>
      </c>
      <c r="I1502" s="1" t="s">
        <v>1041</v>
      </c>
    </row>
    <row r="1503">
      <c r="A1503" s="2" t="str">
        <f>HYPERLINK("https://ui.adsabs.harvard.edu/abs/2022Quant...6..852M/abstract","2022Quant...6..852M")</f>
        <v>2022Quant...6..852M</v>
      </c>
      <c r="B1503" s="2" t="str">
        <f>HYPERLINK("https://ui.adsabs.harvard.edu/abs/2022arXiv220211715M/abstract","2022arXiv220211715M")</f>
        <v>2022arXiv220211715M</v>
      </c>
      <c r="C1503" s="1" t="s">
        <v>70</v>
      </c>
      <c r="E1503" s="2" t="str">
        <f>HYPERLINK("https://ui.adsabs.harvard.edu/abs/2022arXiv220211715M/abstract","2022arXiv220211715M")</f>
        <v>2022arXiv220211715M</v>
      </c>
      <c r="G1503" s="1" t="s">
        <v>72</v>
      </c>
      <c r="H1503" s="1">
        <v>0.9961402</v>
      </c>
      <c r="I1503" s="1" t="s">
        <v>1041</v>
      </c>
    </row>
    <row r="1504">
      <c r="A1504" s="2" t="str">
        <f>HYPERLINK("https://ui.adsabs.harvard.edu/abs/2022Quant...6..854D/abstract","2022Quant...6..854D")</f>
        <v>2022Quant...6..854D</v>
      </c>
      <c r="B1504" s="2" t="str">
        <f>HYPERLINK("https://ui.adsabs.harvard.edu/abs/2021arXiv211110193D/abstract","2021arXiv211110193D")</f>
        <v>2021arXiv211110193D</v>
      </c>
      <c r="C1504" s="1" t="s">
        <v>70</v>
      </c>
      <c r="E1504" s="2" t="str">
        <f>HYPERLINK("https://ui.adsabs.harvard.edu/abs/2021arXiv211110193D/abstract","2021arXiv211110193D")</f>
        <v>2021arXiv211110193D</v>
      </c>
      <c r="G1504" s="1" t="s">
        <v>72</v>
      </c>
      <c r="H1504" s="1">
        <v>0.9961402</v>
      </c>
      <c r="I1504" s="1" t="s">
        <v>1041</v>
      </c>
    </row>
    <row r="1505">
      <c r="A1505" s="2" t="str">
        <f>HYPERLINK("https://ui.adsabs.harvard.edu/abs/2022Quant...6..856D/abstract","2022Quant...6..856D")</f>
        <v>2022Quant...6..856D</v>
      </c>
      <c r="B1505" s="2" t="str">
        <f>HYPERLINK("https://ui.adsabs.harvard.edu/abs/2021arXiv211204483D/abstract","2021arXiv211204483D")</f>
        <v>2021arXiv211204483D</v>
      </c>
      <c r="C1505" s="1" t="s">
        <v>70</v>
      </c>
      <c r="E1505" s="2" t="str">
        <f>HYPERLINK("https://ui.adsabs.harvard.edu/abs/2021arXiv211204483D/abstract","2021arXiv211204483D")</f>
        <v>2021arXiv211204483D</v>
      </c>
      <c r="G1505" s="1" t="s">
        <v>72</v>
      </c>
      <c r="H1505" s="1">
        <v>0.9961402</v>
      </c>
      <c r="I1505" s="1" t="s">
        <v>1041</v>
      </c>
    </row>
    <row r="1506">
      <c r="A1506" s="2" t="str">
        <f>HYPERLINK("https://ui.adsabs.harvard.edu/abs/2022Quant...6..857Y/abstract","2022Quant...6..857Y")</f>
        <v>2022Quant...6..857Y</v>
      </c>
      <c r="B1506" s="2" t="str">
        <f>HYPERLINK("https://ui.adsabs.harvard.edu/abs/2022arXiv220609845Y/abstract","2022arXiv220609845Y")</f>
        <v>2022arXiv220609845Y</v>
      </c>
      <c r="C1506" s="1" t="s">
        <v>70</v>
      </c>
      <c r="E1506" s="2" t="str">
        <f>HYPERLINK("https://ui.adsabs.harvard.edu/abs/2022arXiv220609845Y/abstract","2022arXiv220609845Y")</f>
        <v>2022arXiv220609845Y</v>
      </c>
      <c r="G1506" s="1" t="s">
        <v>72</v>
      </c>
      <c r="H1506" s="1">
        <v>0.9961402</v>
      </c>
      <c r="I1506" s="1" t="s">
        <v>1041</v>
      </c>
    </row>
    <row r="1507">
      <c r="A1507" s="2" t="str">
        <f>HYPERLINK("https://ui.adsabs.harvard.edu/abs/2022Quant...6..858W/abstract","2022Quant...6..858W")</f>
        <v>2022Quant...6..858W</v>
      </c>
      <c r="B1507" s="2" t="str">
        <f>HYPERLINK("https://ui.adsabs.harvard.edu/abs/2022arXiv220508915W/abstract","2022arXiv220508915W")</f>
        <v>2022arXiv220508915W</v>
      </c>
      <c r="C1507" s="1" t="s">
        <v>70</v>
      </c>
      <c r="E1507" s="2" t="str">
        <f>HYPERLINK("https://ui.adsabs.harvard.edu/abs/2022arXiv220508915W/abstract","2022arXiv220508915W")</f>
        <v>2022arXiv220508915W</v>
      </c>
      <c r="G1507" s="1" t="s">
        <v>72</v>
      </c>
      <c r="H1507" s="1">
        <v>0.9961402</v>
      </c>
      <c r="I1507" s="1" t="s">
        <v>1041</v>
      </c>
    </row>
    <row r="1508">
      <c r="A1508" s="2" t="str">
        <f>HYPERLINK("https://ui.adsabs.harvard.edu/abs/2022Quant...6..861J/abstract","2022Quant...6..861J")</f>
        <v>2022Quant...6..861J</v>
      </c>
      <c r="B1508" s="2" t="str">
        <f>HYPERLINK("https://ui.adsabs.harvard.edu/abs/2021arXiv211103016J/abstract","2021arXiv211103016J")</f>
        <v>2021arXiv211103016J</v>
      </c>
      <c r="C1508" s="1" t="s">
        <v>70</v>
      </c>
      <c r="E1508" s="2" t="str">
        <f>HYPERLINK("https://ui.adsabs.harvard.edu/abs/2021arXiv211103016J/abstract","2021arXiv211103016J")</f>
        <v>2021arXiv211103016J</v>
      </c>
      <c r="G1508" s="1" t="s">
        <v>72</v>
      </c>
      <c r="H1508" s="1">
        <v>0.9961402</v>
      </c>
      <c r="I1508" s="1" t="s">
        <v>1041</v>
      </c>
    </row>
    <row r="1509">
      <c r="A1509" s="2" t="str">
        <f>HYPERLINK("https://ui.adsabs.harvard.edu/abs/2022Quant...6..863G/abstract","2022Quant...6..863G")</f>
        <v>2022Quant...6..863G</v>
      </c>
      <c r="B1509" s="2" t="str">
        <f>HYPERLINK("https://ui.adsabs.harvard.edu/abs/2021arXiv211006964G/abstract","2021arXiv211006964G")</f>
        <v>2021arXiv211006964G</v>
      </c>
      <c r="C1509" s="1" t="s">
        <v>70</v>
      </c>
      <c r="E1509" s="2" t="str">
        <f>HYPERLINK("https://ui.adsabs.harvard.edu/abs/2021arXiv211006964G/abstract","2021arXiv211006964G")</f>
        <v>2021arXiv211006964G</v>
      </c>
      <c r="G1509" s="1" t="s">
        <v>72</v>
      </c>
      <c r="H1509" s="1">
        <v>0.9961402</v>
      </c>
      <c r="I1509" s="1" t="s">
        <v>1041</v>
      </c>
    </row>
    <row r="1510">
      <c r="A1510" s="2" t="str">
        <f>HYPERLINK("https://ui.adsabs.harvard.edu/abs/2022Quant...6..864M/abstract","2022Quant...6..864M")</f>
        <v>2022Quant...6..864M</v>
      </c>
      <c r="B1510" s="2" t="str">
        <f>HYPERLINK("https://ui.adsabs.harvard.edu/abs/2022arXiv220400908M/abstract","2022arXiv220400908M")</f>
        <v>2022arXiv220400908M</v>
      </c>
      <c r="C1510" s="1" t="s">
        <v>70</v>
      </c>
      <c r="E1510" s="2" t="str">
        <f>HYPERLINK("https://ui.adsabs.harvard.edu/abs/2022arXiv220400908M/abstract","2022arXiv220400908M")</f>
        <v>2022arXiv220400908M</v>
      </c>
      <c r="G1510" s="1" t="s">
        <v>72</v>
      </c>
      <c r="H1510" s="1">
        <v>0.9961402</v>
      </c>
      <c r="I1510" s="1" t="s">
        <v>1041</v>
      </c>
    </row>
    <row r="1511">
      <c r="A1511" s="2" t="str">
        <f>HYPERLINK("https://ui.adsabs.harvard.edu/abs/2022Quant...6..865P/abstract","2022Quant...6..865P")</f>
        <v>2022Quant...6..865P</v>
      </c>
      <c r="B1511" s="2" t="str">
        <f>HYPERLINK("https://ui.adsabs.harvard.edu/abs/2021arXiv210601038P/abstract","2021arXiv210601038P")</f>
        <v>2021arXiv210601038P</v>
      </c>
      <c r="C1511" s="1" t="s">
        <v>70</v>
      </c>
      <c r="E1511" s="2" t="str">
        <f>HYPERLINK("https://ui.adsabs.harvard.edu/abs/2021arXiv210601038P/abstract","2021arXiv210601038P")</f>
        <v>2021arXiv210601038P</v>
      </c>
      <c r="G1511" s="1" t="s">
        <v>72</v>
      </c>
      <c r="H1511" s="1">
        <v>0.9961402</v>
      </c>
      <c r="I1511" s="1" t="s">
        <v>1041</v>
      </c>
    </row>
    <row r="1512">
      <c r="A1512" s="2" t="str">
        <f>HYPERLINK("https://ui.adsabs.harvard.edu/abs/2022Quant...6..867C/abstract","2022Quant...6..867C")</f>
        <v>2022Quant...6..867C</v>
      </c>
      <c r="B1512" s="2" t="str">
        <f>HYPERLINK("https://ui.adsabs.harvard.edu/abs/2022arXiv220311182C/abstract","2022arXiv220311182C")</f>
        <v>2022arXiv220311182C</v>
      </c>
      <c r="C1512" s="1" t="s">
        <v>70</v>
      </c>
      <c r="E1512" s="2" t="str">
        <f>HYPERLINK("https://ui.adsabs.harvard.edu/abs/2022arXiv220311182C/abstract","2022arXiv220311182C")</f>
        <v>2022arXiv220311182C</v>
      </c>
      <c r="G1512" s="1" t="s">
        <v>72</v>
      </c>
      <c r="H1512" s="1">
        <v>0.9961402</v>
      </c>
      <c r="I1512" s="1" t="s">
        <v>1041</v>
      </c>
    </row>
    <row r="1513">
      <c r="A1513" s="2" t="str">
        <f>HYPERLINK("https://ui.adsabs.harvard.edu/abs/2022Quant...6..868F/abstract","2022Quant...6..868F")</f>
        <v>2022Quant...6..868F</v>
      </c>
      <c r="B1513" s="2" t="str">
        <f>HYPERLINK("https://ui.adsabs.harvard.edu/abs/2022arXiv220211338F/abstract","2022arXiv220211338F")</f>
        <v>2022arXiv220211338F</v>
      </c>
      <c r="C1513" s="1" t="s">
        <v>70</v>
      </c>
      <c r="E1513" s="2" t="str">
        <f>HYPERLINK("https://ui.adsabs.harvard.edu/abs/2022arXiv220211338F/abstract","2022arXiv220211338F")</f>
        <v>2022arXiv220211338F</v>
      </c>
      <c r="G1513" s="1" t="s">
        <v>72</v>
      </c>
      <c r="H1513" s="1">
        <v>0.9961402</v>
      </c>
      <c r="I1513" s="1" t="s">
        <v>1041</v>
      </c>
    </row>
    <row r="1514">
      <c r="A1514" s="2" t="str">
        <f>HYPERLINK("https://ui.adsabs.harvard.edu/abs/2022Quant...6..869S/abstract","2022Quant...6..869S")</f>
        <v>2022Quant...6..869S</v>
      </c>
      <c r="B1514" s="2" t="str">
        <f>HYPERLINK("https://ui.adsabs.harvard.edu/abs/2021arXiv210704425S/abstract","2021arXiv210704425S")</f>
        <v>2021arXiv210704425S</v>
      </c>
      <c r="C1514" s="1" t="s">
        <v>70</v>
      </c>
      <c r="E1514" s="2" t="str">
        <f>HYPERLINK("https://ui.adsabs.harvard.edu/abs/2021arXiv210704425S/abstract","2021arXiv210704425S")</f>
        <v>2021arXiv210704425S</v>
      </c>
      <c r="G1514" s="1" t="s">
        <v>72</v>
      </c>
      <c r="H1514" s="1">
        <v>0.9961402</v>
      </c>
      <c r="I1514" s="1" t="s">
        <v>1041</v>
      </c>
    </row>
    <row r="1515">
      <c r="A1515" s="2" t="str">
        <f>HYPERLINK("https://ui.adsabs.harvard.edu/abs/2022Quant...6..870W/abstract","2022Quant...6..870W")</f>
        <v>2022Quant...6..870W</v>
      </c>
      <c r="B1515" s="2" t="str">
        <f>HYPERLINK("https://ui.adsabs.harvard.edu/abs/2022arXiv220203459W/abstract","2022arXiv220203459W")</f>
        <v>2022arXiv220203459W</v>
      </c>
      <c r="C1515" s="1" t="s">
        <v>70</v>
      </c>
      <c r="E1515" s="2" t="str">
        <f>HYPERLINK("https://ui.adsabs.harvard.edu/abs/2022arXiv220203459W/abstract","2022arXiv220203459W")</f>
        <v>2022arXiv220203459W</v>
      </c>
      <c r="G1515" s="1" t="s">
        <v>72</v>
      </c>
      <c r="H1515" s="1">
        <v>0.9961402</v>
      </c>
      <c r="I1515" s="1" t="s">
        <v>1041</v>
      </c>
    </row>
    <row r="1516">
      <c r="A1516" s="2" t="str">
        <f>HYPERLINK("https://ui.adsabs.harvard.edu/abs/2022Quant...6..871G/abstract","2022Quant...6..871G")</f>
        <v>2022Quant...6..871G</v>
      </c>
      <c r="B1516" s="2" t="str">
        <f>HYPERLINK("https://ui.adsabs.harvard.edu/abs/2022arXiv220515044G/abstract","2022arXiv220515044G")</f>
        <v>2022arXiv220515044G</v>
      </c>
      <c r="C1516" s="1" t="s">
        <v>70</v>
      </c>
      <c r="E1516" s="2" t="str">
        <f>HYPERLINK("https://ui.adsabs.harvard.edu/abs/2022arXiv220515044G/abstract","2022arXiv220515044G")</f>
        <v>2022arXiv220515044G</v>
      </c>
      <c r="G1516" s="1" t="s">
        <v>72</v>
      </c>
      <c r="H1516" s="1">
        <v>0.9961402</v>
      </c>
      <c r="I1516" s="1" t="s">
        <v>1041</v>
      </c>
    </row>
    <row r="1517">
      <c r="A1517" s="2" t="str">
        <f>HYPERLINK("https://ui.adsabs.harvard.edu/abs/2022Quant...6..872L/abstract","2022Quant...6..872L")</f>
        <v>2022Quant...6..872L</v>
      </c>
      <c r="B1517" s="2" t="str">
        <f>HYPERLINK("https://ui.adsabs.harvard.edu/abs/2021arXiv210910215L/abstract","2021arXiv210910215L")</f>
        <v>2021arXiv210910215L</v>
      </c>
      <c r="C1517" s="1" t="s">
        <v>70</v>
      </c>
      <c r="E1517" s="2" t="str">
        <f>HYPERLINK("https://ui.adsabs.harvard.edu/abs/2021arXiv210910215L/abstract","2021arXiv210910215L")</f>
        <v>2021arXiv210910215L</v>
      </c>
      <c r="G1517" s="1" t="s">
        <v>72</v>
      </c>
      <c r="H1517" s="1">
        <v>0.9961402</v>
      </c>
      <c r="I1517" s="1" t="s">
        <v>1041</v>
      </c>
    </row>
    <row r="1518">
      <c r="A1518" s="2" t="str">
        <f>HYPERLINK("https://ui.adsabs.harvard.edu/abs/2022Quant...6..873H/abstract","2022Quant...6..873H")</f>
        <v>2022Quant...6..873H</v>
      </c>
      <c r="B1518" s="2" t="str">
        <f>HYPERLINK("https://ui.adsabs.harvard.edu/abs/2021arXiv211100433H/abstract","2021arXiv211100433H")</f>
        <v>2021arXiv211100433H</v>
      </c>
      <c r="C1518" s="1" t="s">
        <v>70</v>
      </c>
      <c r="E1518" s="2" t="str">
        <f>HYPERLINK("https://ui.adsabs.harvard.edu/abs/2021arXiv211100433H/abstract","2021arXiv211100433H")</f>
        <v>2021arXiv211100433H</v>
      </c>
      <c r="G1518" s="1" t="s">
        <v>72</v>
      </c>
      <c r="H1518" s="1">
        <v>0.9961402</v>
      </c>
      <c r="I1518" s="1" t="s">
        <v>1041</v>
      </c>
    </row>
    <row r="1519">
      <c r="A1519" s="2" t="str">
        <f>HYPERLINK("https://ui.adsabs.harvard.edu/abs/2022Quant...6..874H/abstract","2022Quant...6..874H")</f>
        <v>2022Quant...6..874H</v>
      </c>
      <c r="B1519" s="2" t="str">
        <f>HYPERLINK("https://ui.adsabs.harvard.edu/abs/2022arXiv220102545H/abstract","2022arXiv220102545H")</f>
        <v>2022arXiv220102545H</v>
      </c>
      <c r="C1519" s="1" t="s">
        <v>70</v>
      </c>
      <c r="E1519" s="2" t="str">
        <f>HYPERLINK("https://ui.adsabs.harvard.edu/abs/2022arXiv220102545H/abstract","2022arXiv220102545H")</f>
        <v>2022arXiv220102545H</v>
      </c>
      <c r="G1519" s="1" t="s">
        <v>72</v>
      </c>
      <c r="H1519" s="1">
        <v>0.9961402</v>
      </c>
      <c r="I1519" s="1" t="s">
        <v>1041</v>
      </c>
    </row>
    <row r="1520">
      <c r="A1520" s="2" t="str">
        <f>HYPERLINK("https://ui.adsabs.harvard.edu/abs/2022Quant...6..875S/abstract","2022Quant...6..875S")</f>
        <v>2022Quant...6..875S</v>
      </c>
      <c r="B1520" s="2" t="str">
        <f>HYPERLINK("https://ui.adsabs.harvard.edu/abs/2021arXiv211211370S/abstract","2021arXiv211211370S")</f>
        <v>2021arXiv211211370S</v>
      </c>
      <c r="C1520" s="1" t="s">
        <v>70</v>
      </c>
      <c r="E1520" s="2" t="str">
        <f>HYPERLINK("https://ui.adsabs.harvard.edu/abs/2021arXiv211211370S/abstract","2021arXiv211211370S")</f>
        <v>2021arXiv211211370S</v>
      </c>
      <c r="G1520" s="1" t="s">
        <v>72</v>
      </c>
      <c r="H1520" s="1">
        <v>0.9961402</v>
      </c>
      <c r="I1520" s="1" t="s">
        <v>1041</v>
      </c>
    </row>
    <row r="1521">
      <c r="A1521" s="2" t="str">
        <f>HYPERLINK("https://ui.adsabs.harvard.edu/abs/2022Quant...6..876N/abstract","2022Quant...6..876N")</f>
        <v>2022Quant...6..876N</v>
      </c>
      <c r="B1521" s="2" t="str">
        <f>HYPERLINK("https://ui.adsabs.harvard.edu/abs/2022arXiv220111329N/abstract","2022arXiv220111329N")</f>
        <v>2022arXiv220111329N</v>
      </c>
      <c r="C1521" s="1" t="s">
        <v>70</v>
      </c>
      <c r="E1521" s="2" t="str">
        <f>HYPERLINK("https://ui.adsabs.harvard.edu/abs/2022arXiv220111329N/abstract","2022arXiv220111329N")</f>
        <v>2022arXiv220111329N</v>
      </c>
      <c r="G1521" s="1" t="s">
        <v>72</v>
      </c>
      <c r="H1521" s="1">
        <v>0.9961402</v>
      </c>
      <c r="I1521" s="1" t="s">
        <v>1041</v>
      </c>
    </row>
    <row r="1522">
      <c r="A1522" s="2" t="str">
        <f>HYPERLINK("https://ui.adsabs.harvard.edu/abs/2022Quant...6..877C/abstract","2022Quant...6..877C")</f>
        <v>2022Quant...6..877C</v>
      </c>
      <c r="B1522" s="2" t="str">
        <f>HYPERLINK("https://ui.adsabs.harvard.edu/abs/2022arXiv220800327C/abstract","2022arXiv220800327C")</f>
        <v>2022arXiv220800327C</v>
      </c>
      <c r="C1522" s="1" t="s">
        <v>70</v>
      </c>
      <c r="E1522" s="2" t="str">
        <f>HYPERLINK("https://ui.adsabs.harvard.edu/abs/2022arXiv220800327C/abstract","2022arXiv220800327C")</f>
        <v>2022arXiv220800327C</v>
      </c>
      <c r="G1522" s="1" t="s">
        <v>72</v>
      </c>
      <c r="H1522" s="1">
        <v>0.9961402</v>
      </c>
      <c r="I1522" s="1" t="s">
        <v>1041</v>
      </c>
    </row>
    <row r="1523">
      <c r="A1523" s="2" t="str">
        <f>HYPERLINK("https://ui.adsabs.harvard.edu/abs/2022Quant...6..882B/abstract","2022Quant...6..882B")</f>
        <v>2022Quant...6..882B</v>
      </c>
      <c r="B1523" s="2" t="str">
        <f>HYPERLINK("https://ui.adsabs.harvard.edu/abs/2021arXiv210200512B/abstract","2021arXiv210200512B")</f>
        <v>2021arXiv210200512B</v>
      </c>
      <c r="C1523" s="1" t="s">
        <v>70</v>
      </c>
      <c r="E1523" s="2" t="str">
        <f>HYPERLINK("https://ui.adsabs.harvard.edu/abs/2021arXiv210200512B/abstract","2021arXiv210200512B")</f>
        <v>2021arXiv210200512B</v>
      </c>
      <c r="G1523" s="1" t="s">
        <v>72</v>
      </c>
      <c r="H1523" s="1">
        <v>0.9961402</v>
      </c>
      <c r="I1523" s="1" t="s">
        <v>1041</v>
      </c>
    </row>
    <row r="1524">
      <c r="A1524" s="2" t="str">
        <f>HYPERLINK("https://ui.adsabs.harvard.edu/abs/2022Quant...6..883P/abstract","2022Quant...6..883P")</f>
        <v>2022Quant...6..883P</v>
      </c>
      <c r="B1524" s="2" t="str">
        <f>HYPERLINK("https://ui.adsabs.harvard.edu/abs/2022arXiv220614745P/abstract","2022arXiv220614745P")</f>
        <v>2022arXiv220614745P</v>
      </c>
      <c r="C1524" s="1" t="s">
        <v>70</v>
      </c>
      <c r="E1524" s="2" t="str">
        <f>HYPERLINK("https://ui.adsabs.harvard.edu/abs/2022arXiv220614745P/abstract","2022arXiv220614745P")</f>
        <v>2022arXiv220614745P</v>
      </c>
      <c r="G1524" s="1" t="s">
        <v>72</v>
      </c>
      <c r="H1524" s="1">
        <v>0.9961402</v>
      </c>
      <c r="I1524" s="1" t="s">
        <v>1041</v>
      </c>
    </row>
    <row r="1525">
      <c r="A1525" s="2" t="str">
        <f>HYPERLINK("https://ui.adsabs.harvard.edu/abs/2022Quant...6..885T/abstract","2022Quant...6..885T")</f>
        <v>2022Quant...6..885T</v>
      </c>
      <c r="B1525" s="2" t="str">
        <f>HYPERLINK("https://ui.adsabs.harvard.edu/abs/2022arXiv220812766T/abstract","2022arXiv220812766T")</f>
        <v>2022arXiv220812766T</v>
      </c>
      <c r="C1525" s="1" t="s">
        <v>70</v>
      </c>
      <c r="E1525" s="2" t="str">
        <f>HYPERLINK("https://ui.adsabs.harvard.edu/abs/2022arXiv220812766T/abstract","2022arXiv220812766T")</f>
        <v>2022arXiv220812766T</v>
      </c>
      <c r="G1525" s="1" t="s">
        <v>72</v>
      </c>
      <c r="H1525" s="1">
        <v>0.9961402</v>
      </c>
      <c r="I1525" s="1" t="s">
        <v>1041</v>
      </c>
    </row>
    <row r="1526">
      <c r="A1526" s="2" t="str">
        <f>HYPERLINK("https://ui.adsabs.harvard.edu/abs/2022Quant...6..886I/abstract","2022Quant...6..886I")</f>
        <v>2022Quant...6..886I</v>
      </c>
      <c r="B1526" s="2" t="str">
        <f>HYPERLINK("https://ui.adsabs.harvard.edu/abs/2022arXiv220810542I/abstract","2022arXiv220810542I")</f>
        <v>2022arXiv220810542I</v>
      </c>
      <c r="C1526" s="1" t="s">
        <v>70</v>
      </c>
      <c r="E1526" s="2" t="str">
        <f>HYPERLINK("https://ui.adsabs.harvard.edu/abs/2022arXiv220810542I/abstract","2022arXiv220810542I")</f>
        <v>2022arXiv220810542I</v>
      </c>
      <c r="G1526" s="1" t="s">
        <v>72</v>
      </c>
      <c r="H1526" s="1">
        <v>0.9961402</v>
      </c>
      <c r="I1526" s="1" t="s">
        <v>1041</v>
      </c>
    </row>
    <row r="1527">
      <c r="A1527" s="2" t="str">
        <f>HYPERLINK("https://ui.adsabs.harvard.edu/abs/2022Quant...6..887M/abstract","2022Quant...6..887M")</f>
        <v>2022Quant...6..887M</v>
      </c>
      <c r="B1527" s="2" t="str">
        <f>HYPERLINK("https://ui.adsabs.harvard.edu/abs/2022arXiv220313547M/abstract","2022arXiv220313547M")</f>
        <v>2022arXiv220313547M</v>
      </c>
      <c r="C1527" s="1" t="s">
        <v>70</v>
      </c>
      <c r="E1527" s="2" t="str">
        <f>HYPERLINK("https://ui.adsabs.harvard.edu/abs/2022arXiv220313547M/abstract","2022arXiv220313547M")</f>
        <v>2022arXiv220313547M</v>
      </c>
      <c r="G1527" s="1" t="s">
        <v>72</v>
      </c>
      <c r="H1527" s="1">
        <v>0.9961402</v>
      </c>
      <c r="I1527" s="1" t="s">
        <v>1041</v>
      </c>
    </row>
    <row r="1528">
      <c r="A1528" s="2" t="str">
        <f>HYPERLINK("https://ui.adsabs.harvard.edu/abs/2023Quant...7..888B/abstract","2023Quant...7..888B")</f>
        <v>2023Quant...7..888B</v>
      </c>
      <c r="B1528" s="2" t="str">
        <f>HYPERLINK("https://ui.adsabs.harvard.edu/abs/2022arXiv220302895B/abstract","2022arXiv220302895B")</f>
        <v>2022arXiv220302895B</v>
      </c>
      <c r="C1528" s="1" t="s">
        <v>70</v>
      </c>
      <c r="E1528" s="2" t="str">
        <f>HYPERLINK("https://ui.adsabs.harvard.edu/abs/2022arXiv220302895B/abstract","2022arXiv220302895B")</f>
        <v>2022arXiv220302895B</v>
      </c>
      <c r="G1528" s="1" t="s">
        <v>72</v>
      </c>
      <c r="H1528" s="1">
        <v>0.9961402</v>
      </c>
      <c r="I1528" s="1" t="s">
        <v>1041</v>
      </c>
    </row>
    <row r="1529">
      <c r="A1529" s="2" t="str">
        <f>HYPERLINK("https://ui.adsabs.harvard.edu/abs/2023Quant...7..889C/abstract","2023Quant...7..889C")</f>
        <v>2023Quant...7..889C</v>
      </c>
      <c r="B1529" s="2" t="str">
        <f>HYPERLINK("https://ui.adsabs.harvard.edu/abs/2022arXiv220814490C/abstract","2022arXiv220814490C")</f>
        <v>2022arXiv220814490C</v>
      </c>
      <c r="C1529" s="1" t="s">
        <v>70</v>
      </c>
      <c r="E1529" s="2" t="str">
        <f>HYPERLINK("https://ui.adsabs.harvard.edu/abs/2022arXiv220814490C/abstract","2022arXiv220814490C")</f>
        <v>2022arXiv220814490C</v>
      </c>
      <c r="G1529" s="1" t="s">
        <v>72</v>
      </c>
      <c r="H1529" s="1">
        <v>0.9961402</v>
      </c>
      <c r="I1529" s="1" t="s">
        <v>1041</v>
      </c>
    </row>
    <row r="1530">
      <c r="A1530" s="2" t="str">
        <f>HYPERLINK("https://ui.adsabs.harvard.edu/abs/2023Quant...7..890Y/abstract","2023Quant...7..890Y")</f>
        <v>2023Quant...7..890Y</v>
      </c>
      <c r="B1530" s="2" t="str">
        <f>HYPERLINK("https://ui.adsabs.harvard.edu/abs/2022arXiv220611185Y/abstract","2022arXiv220611185Y")</f>
        <v>2022arXiv220611185Y</v>
      </c>
      <c r="C1530" s="1" t="s">
        <v>70</v>
      </c>
      <c r="E1530" s="2" t="str">
        <f>HYPERLINK("https://ui.adsabs.harvard.edu/abs/2022arXiv220611185Y/abstract","2022arXiv220611185Y")</f>
        <v>2022arXiv220611185Y</v>
      </c>
      <c r="G1530" s="1" t="s">
        <v>72</v>
      </c>
      <c r="H1530" s="1">
        <v>0.9961402</v>
      </c>
      <c r="I1530" s="1" t="s">
        <v>1041</v>
      </c>
    </row>
    <row r="1531">
      <c r="A1531" s="2" t="str">
        <f>HYPERLINK("https://ui.adsabs.harvard.edu/abs/2023Quant...7..892F/abstract","2023Quant...7..892F")</f>
        <v>2023Quant...7..892F</v>
      </c>
      <c r="B1531" s="2" t="str">
        <f>HYPERLINK("https://ui.adsabs.harvard.edu/abs/2022arXiv220405773F/abstract","2022arXiv220405773F")</f>
        <v>2022arXiv220405773F</v>
      </c>
      <c r="C1531" s="1" t="s">
        <v>70</v>
      </c>
      <c r="E1531" s="2" t="str">
        <f>HYPERLINK("https://ui.adsabs.harvard.edu/abs/2022arXiv220405773F/abstract","2022arXiv220405773F")</f>
        <v>2022arXiv220405773F</v>
      </c>
      <c r="G1531" s="1" t="s">
        <v>72</v>
      </c>
      <c r="H1531" s="1">
        <v>0.9961402</v>
      </c>
      <c r="I1531" s="1" t="s">
        <v>1041</v>
      </c>
    </row>
    <row r="1532">
      <c r="A1532" s="2" t="str">
        <f>HYPERLINK("https://ui.adsabs.harvard.edu/abs/2023Quant...7..897G/abstract","2023Quant...7..897G")</f>
        <v>2023Quant...7..897G</v>
      </c>
      <c r="B1532" s="2" t="str">
        <f>HYPERLINK("https://ui.adsabs.harvard.edu/abs/2022arXiv220709348G/abstract","2022arXiv220709348G")</f>
        <v>2022arXiv220709348G</v>
      </c>
      <c r="C1532" s="1" t="s">
        <v>70</v>
      </c>
      <c r="E1532" s="2" t="str">
        <f>HYPERLINK("https://ui.adsabs.harvard.edu/abs/2022arXiv220709348G/abstract","2022arXiv220709348G")</f>
        <v>2022arXiv220709348G</v>
      </c>
      <c r="G1532" s="1" t="s">
        <v>72</v>
      </c>
      <c r="H1532" s="1">
        <v>0.9961402</v>
      </c>
      <c r="I1532" s="1" t="s">
        <v>1041</v>
      </c>
    </row>
    <row r="1533">
      <c r="A1533" s="2" t="str">
        <f>HYPERLINK("https://ui.adsabs.harvard.edu/abs/2023Quant...7..899L/abstract","2023Quant...7..899L")</f>
        <v>2023Quant...7..899L</v>
      </c>
      <c r="B1533" s="2" t="str">
        <f>HYPERLINK("https://ui.adsabs.harvard.edu/abs/2022arXiv220302444L/abstract","2022arXiv220302444L")</f>
        <v>2022arXiv220302444L</v>
      </c>
      <c r="C1533" s="1" t="s">
        <v>70</v>
      </c>
      <c r="E1533" s="2" t="str">
        <f>HYPERLINK("https://ui.adsabs.harvard.edu/abs/2022arXiv220302444L/abstract","2022arXiv220302444L")</f>
        <v>2022arXiv220302444L</v>
      </c>
      <c r="G1533" s="1" t="s">
        <v>72</v>
      </c>
      <c r="H1533" s="1">
        <v>0.9961402</v>
      </c>
      <c r="I1533" s="1" t="s">
        <v>1041</v>
      </c>
    </row>
    <row r="1534">
      <c r="A1534" s="2" t="str">
        <f>HYPERLINK("https://ui.adsabs.harvard.edu/abs/2023ScPP...14....4S/abstract","2023ScPP...14....4S")</f>
        <v>2023ScPP...14....4S</v>
      </c>
      <c r="B1534" s="2" t="str">
        <f>HYPERLINK("https://ui.adsabs.harvard.edu/abs/2022arXiv220412515S/abstract","2022arXiv220412515S")</f>
        <v>2022arXiv220412515S</v>
      </c>
      <c r="C1534" s="1" t="s">
        <v>70</v>
      </c>
      <c r="E1534" s="2" t="str">
        <f>HYPERLINK("https://ui.adsabs.harvard.edu/abs/2022arXiv220412515S/abstract","2022arXiv220412515S")</f>
        <v>2022arXiv220412515S</v>
      </c>
      <c r="G1534" s="1" t="s">
        <v>72</v>
      </c>
      <c r="H1534" s="1">
        <v>0.9961402</v>
      </c>
      <c r="I1534" s="1" t="s">
        <v>1041</v>
      </c>
    </row>
    <row r="1535">
      <c r="A1535" s="2" t="str">
        <f>HYPERLINK("https://ui.adsabs.harvard.edu/abs/2023CQGra..40d5002J/abstract","2023CQGra..40d5002J")</f>
        <v>2023CQGra..40d5002J</v>
      </c>
      <c r="B1535" s="2" t="str">
        <f>HYPERLINK("https://ui.adsabs.harvard.edu/abs/2022arXiv220900577J/abstract","2022arXiv220900577J")</f>
        <v>2022arXiv220900577J</v>
      </c>
      <c r="C1535" s="1" t="s">
        <v>70</v>
      </c>
      <c r="E1535" s="2" t="str">
        <f>HYPERLINK("https://ui.adsabs.harvard.edu/abs/2022arXiv220900577J/abstract","2022arXiv220900577J")</f>
        <v>2022arXiv220900577J</v>
      </c>
      <c r="G1535" s="1" t="s">
        <v>72</v>
      </c>
      <c r="H1535" s="1">
        <v>0.9961402</v>
      </c>
      <c r="I1535" s="1" t="s">
        <v>1041</v>
      </c>
    </row>
    <row r="1536">
      <c r="A1536" s="2" t="str">
        <f>HYPERLINK("https://ui.adsabs.harvard.edu/abs/2023CQGra..40d5005S/abstract","2023CQGra..40d5005S")</f>
        <v>2023CQGra..40d5005S</v>
      </c>
      <c r="B1536" s="2" t="str">
        <f>HYPERLINK("https://ui.adsabs.harvard.edu/abs/2022arXiv220911358S/abstract","2022arXiv220911358S")</f>
        <v>2022arXiv220911358S</v>
      </c>
      <c r="C1536" s="1" t="s">
        <v>70</v>
      </c>
      <c r="E1536" s="2" t="str">
        <f>HYPERLINK("https://ui.adsabs.harvard.edu/abs/2022arXiv220911358S/abstract","2022arXiv220911358S")</f>
        <v>2022arXiv220911358S</v>
      </c>
      <c r="G1536" s="1" t="s">
        <v>72</v>
      </c>
      <c r="H1536" s="1">
        <v>0.9961402</v>
      </c>
      <c r="I1536" s="1" t="s">
        <v>1041</v>
      </c>
    </row>
    <row r="1537">
      <c r="A1537" s="2" t="str">
        <f>HYPERLINK("https://ui.adsabs.harvard.edu/abs/2023Nonli..36.1398B/abstract","2023Nonli..36.1398B")</f>
        <v>2023Nonli..36.1398B</v>
      </c>
      <c r="B1537" s="2" t="str">
        <f>HYPERLINK("https://ui.adsabs.harvard.edu/abs/2022arXiv220704971B/abstract","2022arXiv220704971B")</f>
        <v>2022arXiv220704971B</v>
      </c>
      <c r="C1537" s="1" t="s">
        <v>70</v>
      </c>
      <c r="E1537" s="2" t="str">
        <f>HYPERLINK("https://ui.adsabs.harvard.edu/abs/2022arXiv220704971B/abstract","2022arXiv220704971B")</f>
        <v>2022arXiv220704971B</v>
      </c>
      <c r="G1537" s="1" t="s">
        <v>72</v>
      </c>
      <c r="H1537" s="1">
        <v>0.9961402</v>
      </c>
      <c r="I1537" s="1" t="s">
        <v>1041</v>
      </c>
    </row>
    <row r="1538">
      <c r="A1538" s="2" t="str">
        <f>HYPERLINK("https://ui.adsabs.harvard.edu/abs/2023JPhA...56a5203G/abstract","2023JPhA...56a5203G")</f>
        <v>2023JPhA...56a5203G</v>
      </c>
      <c r="B1538" s="2" t="str">
        <f>HYPERLINK("https://ui.adsabs.harvard.edu/abs/2022arXiv220705511G/abstract","2022arXiv220705511G")</f>
        <v>2022arXiv220705511G</v>
      </c>
      <c r="C1538" s="1" t="s">
        <v>70</v>
      </c>
      <c r="E1538" s="2" t="str">
        <f>HYPERLINK("https://ui.adsabs.harvard.edu/abs/2022arXiv220705511G/abstract","2022arXiv220705511G")</f>
        <v>2022arXiv220705511G</v>
      </c>
      <c r="G1538" s="1" t="s">
        <v>72</v>
      </c>
      <c r="H1538" s="1">
        <v>0.9961402</v>
      </c>
      <c r="I1538" s="1" t="s">
        <v>1041</v>
      </c>
    </row>
    <row r="1539">
      <c r="A1539" s="2" t="str">
        <f>HYPERLINK("https://ui.adsabs.harvard.edu/abs/2022MPLA...3750211A/abstract","2022MPLA...3750211A")</f>
        <v>2022MPLA...3750211A</v>
      </c>
      <c r="B1539" s="2" t="str">
        <f>HYPERLINK("https://ui.adsabs.harvard.edu/abs/2022arXiv221205834A/abstract","2022arXiv221205834A")</f>
        <v>2022arXiv221205834A</v>
      </c>
      <c r="C1539" s="1" t="s">
        <v>70</v>
      </c>
      <c r="E1539" s="2" t="str">
        <f>HYPERLINK("https://ui.adsabs.harvard.edu/abs/2022arXiv221205834A/abstract","2022arXiv221205834A")</f>
        <v>2022arXiv221205834A</v>
      </c>
      <c r="G1539" s="1" t="s">
        <v>72</v>
      </c>
      <c r="H1539" s="1">
        <v>0.9961402</v>
      </c>
      <c r="I1539" s="1" t="s">
        <v>1041</v>
      </c>
    </row>
    <row r="1540">
      <c r="A1540" s="2" t="str">
        <f>HYPERLINK("https://ui.adsabs.harvard.edu/abs/2017Quant...1...36B/abstract","2017Quant...1...36B")</f>
        <v>2017Quant...1...36B</v>
      </c>
      <c r="E1540" s="2" t="str">
        <f>HYPERLINK("https://ui.adsabs.harvard.edu/abs/2014arXiv1412.3582B/abstract","2014arXiv1412.3582B")</f>
        <v>2014arXiv1412.3582B</v>
      </c>
      <c r="G1540" s="1" t="s">
        <v>72</v>
      </c>
      <c r="H1540" s="1">
        <v>0.9961559</v>
      </c>
      <c r="I1540" s="1" t="s">
        <v>1042</v>
      </c>
    </row>
    <row r="1541">
      <c r="A1541" s="2" t="str">
        <f>HYPERLINK("https://ui.adsabs.harvard.edu/abs/2023MPAG...26....2E/abstract","2023MPAG...26....2E")</f>
        <v>2023MPAG...26....2E</v>
      </c>
      <c r="C1541" s="1" t="s">
        <v>12</v>
      </c>
      <c r="E1541" s="2" t="str">
        <f>HYPERLINK("https://ui.adsabs.harvard.edu/abs/2022arXiv220315164E/abstract","2022arXiv220315164E")</f>
        <v>2022arXiv220315164E</v>
      </c>
      <c r="F1541" s="1" t="s">
        <v>1043</v>
      </c>
      <c r="G1541" s="1" t="s">
        <v>72</v>
      </c>
      <c r="H1541" s="1">
        <v>0.9962404</v>
      </c>
      <c r="I1541" s="1" t="s">
        <v>1044</v>
      </c>
    </row>
    <row r="1542">
      <c r="A1542" s="2" t="str">
        <f>HYPERLINK("https://ui.adsabs.harvard.edu/abs/2023PhRvB.107a4509M/abstract","2023PhRvB.107a4509M")</f>
        <v>2023PhRvB.107a4509M</v>
      </c>
      <c r="E1542" s="2" t="str">
        <f>HYPERLINK("https://ui.adsabs.harvard.edu/abs/2021arXiv211214635M/abstract","2021arXiv211214635M")</f>
        <v>2021arXiv211214635M</v>
      </c>
      <c r="G1542" s="1" t="s">
        <v>72</v>
      </c>
      <c r="H1542" s="1">
        <v>0.9962528</v>
      </c>
      <c r="I1542" s="1" t="s">
        <v>1045</v>
      </c>
    </row>
    <row r="1543">
      <c r="A1543" s="2" t="str">
        <f>HYPERLINK("https://ui.adsabs.harvard.edu/abs/2023JPhB...56b5302L/abstract","2023JPhB...56b5302L")</f>
        <v>2023JPhB...56b5302L</v>
      </c>
      <c r="E1543" s="2" t="str">
        <f>HYPERLINK("https://ui.adsabs.harvard.edu/abs/2021arXiv211015298L/abstract","2021arXiv211015298L")</f>
        <v>2021arXiv211015298L</v>
      </c>
      <c r="G1543" s="1" t="s">
        <v>72</v>
      </c>
      <c r="H1543" s="1">
        <v>0.9962711</v>
      </c>
      <c r="I1543" s="1" t="s">
        <v>1046</v>
      </c>
    </row>
    <row r="1544">
      <c r="A1544" s="2" t="str">
        <f>HYPERLINK("https://ui.adsabs.harvard.edu/abs/2023PhRvB.107b0407R/abstract","2023PhRvB.107b0407R")</f>
        <v>2023PhRvB.107b0407R</v>
      </c>
      <c r="E1544" s="2" t="str">
        <f>HYPERLINK("https://ui.adsabs.harvard.edu/abs/2020arXiv200402128R/abstract","2020arXiv200402128R")</f>
        <v>2020arXiv200402128R</v>
      </c>
      <c r="G1544" s="1" t="s">
        <v>72</v>
      </c>
      <c r="H1544" s="1">
        <v>0.9963823</v>
      </c>
      <c r="I1544" s="1" t="s">
        <v>1047</v>
      </c>
    </row>
    <row r="1545">
      <c r="A1545" s="2" t="str">
        <f>HYPERLINK("https://ui.adsabs.harvard.edu/abs/2019Quant...3..211G/abstract","2019Quant...3..211G")</f>
        <v>2019Quant...3..211G</v>
      </c>
      <c r="E1545" s="2" t="str">
        <f>HYPERLINK("https://ui.adsabs.harvard.edu/abs/2017arXiv170800669G/abstract","2017arXiv170800669G")</f>
        <v>2017arXiv170800669G</v>
      </c>
      <c r="G1545" s="1" t="s">
        <v>72</v>
      </c>
      <c r="H1545" s="1">
        <v>0.996534</v>
      </c>
      <c r="I1545" s="1" t="s">
        <v>1048</v>
      </c>
    </row>
    <row r="1546">
      <c r="A1546" s="2" t="str">
        <f>HYPERLINK("https://ui.adsabs.harvard.edu/abs/2018Quant...2...92C/abstract","2018Quant...2...92C")</f>
        <v>2018Quant...2...92C</v>
      </c>
      <c r="E1546" s="2" t="str">
        <f>HYPERLINK("https://ui.adsabs.harvard.edu/abs/2016arXiv161000771C/abstract","2016arXiv161000771C")</f>
        <v>2016arXiv161000771C</v>
      </c>
      <c r="G1546" s="1" t="s">
        <v>72</v>
      </c>
      <c r="H1546" s="1">
        <v>0.9966562</v>
      </c>
      <c r="I1546" s="1" t="s">
        <v>1049</v>
      </c>
    </row>
    <row r="1547">
      <c r="A1547" s="2" t="str">
        <f>HYPERLINK("https://ui.adsabs.harvard.edu/abs/2019Quant...3..117M/abstract","2019Quant...3..117M")</f>
        <v>2019Quant...3..117M</v>
      </c>
      <c r="E1547" s="2" t="str">
        <f>HYPERLINK("https://ui.adsabs.harvard.edu/abs/2017arXiv170206449M/abstract","2017arXiv170206449M")</f>
        <v>2017arXiv170206449M</v>
      </c>
      <c r="G1547" s="1" t="s">
        <v>72</v>
      </c>
      <c r="H1547" s="1">
        <v>0.9966562</v>
      </c>
      <c r="I1547" s="1" t="s">
        <v>1049</v>
      </c>
    </row>
    <row r="1548">
      <c r="A1548" s="2" t="str">
        <f>HYPERLINK("https://ui.adsabs.harvard.edu/abs/2019Quant...3..184K/abstract","2019Quant...3..184K")</f>
        <v>2019Quant...3..184K</v>
      </c>
      <c r="E1548" s="2" t="str">
        <f>HYPERLINK("https://ui.adsabs.harvard.edu/abs/2017arXiv170901098K/abstract","2017arXiv170901098K")</f>
        <v>2017arXiv170901098K</v>
      </c>
      <c r="G1548" s="1" t="s">
        <v>72</v>
      </c>
      <c r="H1548" s="1">
        <v>0.9966562</v>
      </c>
      <c r="I1548" s="1" t="s">
        <v>1049</v>
      </c>
    </row>
    <row r="1549">
      <c r="A1549" s="2" t="str">
        <f>HYPERLINK("https://ui.adsabs.harvard.edu/abs/2023npjQI...9....6O/abstract","2023npjQI...9....6O")</f>
        <v>2023npjQI...9....6O</v>
      </c>
      <c r="E1549" s="2" t="str">
        <f>HYPERLINK("https://ui.adsabs.harvard.edu/abs/2021arXiv211100811O/abstract","2021arXiv211100811O")</f>
        <v>2021arXiv211100811O</v>
      </c>
      <c r="G1549" s="1" t="s">
        <v>72</v>
      </c>
      <c r="H1549" s="1">
        <v>0.9966584</v>
      </c>
      <c r="I1549" s="1" t="s">
        <v>1050</v>
      </c>
    </row>
    <row r="1550">
      <c r="A1550" s="2" t="str">
        <f>HYPERLINK("https://ui.adsabs.harvard.edu/abs/2023PhLB..83837672P/abstract","2023PhLB..83837672P")</f>
        <v>2023PhLB..83837672P</v>
      </c>
      <c r="E1550" s="2" t="str">
        <f>HYPERLINK("https://ui.adsabs.harvard.edu/abs/2021arXiv210605500P/abstract","2021arXiv210605500P")</f>
        <v>2021arXiv210605500P</v>
      </c>
      <c r="G1550" s="1" t="s">
        <v>72</v>
      </c>
      <c r="H1550" s="1">
        <v>0.9966584</v>
      </c>
      <c r="I1550" s="1" t="s">
        <v>1050</v>
      </c>
    </row>
    <row r="1551">
      <c r="A1551" s="2" t="str">
        <f>HYPERLINK("https://ui.adsabs.harvard.edu/abs/2020Quant...4..310N/abstract","2020Quant...4..310N")</f>
        <v>2020Quant...4..310N</v>
      </c>
      <c r="E1551" s="2" t="str">
        <f>HYPERLINK("https://ui.adsabs.harvard.edu/abs/2018arXiv180906640N/abstract","2018arXiv180906640N")</f>
        <v>2018arXiv180906640N</v>
      </c>
      <c r="G1551" s="1" t="s">
        <v>72</v>
      </c>
      <c r="H1551" s="1">
        <v>0.9966974</v>
      </c>
      <c r="I1551" s="1" t="s">
        <v>1051</v>
      </c>
    </row>
    <row r="1552">
      <c r="A1552" s="2" t="str">
        <f>HYPERLINK("https://ui.adsabs.harvard.edu/abs/2022Quant...6..754G/abstract","2022Quant...6..754G")</f>
        <v>2022Quant...6..754G</v>
      </c>
      <c r="E1552" s="2" t="str">
        <f>HYPERLINK("https://ui.adsabs.harvard.edu/abs/2020arXiv200907268G/abstract","2020arXiv200907268G")</f>
        <v>2020arXiv200907268G</v>
      </c>
      <c r="G1552" s="1" t="s">
        <v>72</v>
      </c>
      <c r="H1552" s="1">
        <v>0.9966974</v>
      </c>
      <c r="I1552" s="1" t="s">
        <v>1051</v>
      </c>
    </row>
    <row r="1553">
      <c r="A1553" s="2" t="str">
        <f>HYPERLINK("https://ui.adsabs.harvard.edu/abs/2023JGP...18504746C/abstract","2023JGP...18504746C")</f>
        <v>2023JGP...18504746C</v>
      </c>
      <c r="E1553" s="2" t="str">
        <f>HYPERLINK("https://ui.adsabs.harvard.edu/abs/2021arXiv210614703C/abstract","2021arXiv210614703C")</f>
        <v>2021arXiv210614703C</v>
      </c>
      <c r="G1553" s="1" t="s">
        <v>72</v>
      </c>
      <c r="H1553" s="1">
        <v>0.9967382</v>
      </c>
      <c r="I1553" s="1" t="s">
        <v>1052</v>
      </c>
    </row>
    <row r="1554">
      <c r="A1554" s="2" t="str">
        <f>HYPERLINK("https://ui.adsabs.harvard.edu/abs/2017Quant...1...18N/abstract","2017Quant...1...18N")</f>
        <v>2017Quant...1...18N</v>
      </c>
      <c r="E1554" s="2" t="str">
        <f>HYPERLINK("https://ui.adsabs.harvard.edu/abs/2015arXiv150905155N/abstract","2015arXiv150905155N")</f>
        <v>2015arXiv150905155N</v>
      </c>
      <c r="G1554" s="1" t="s">
        <v>72</v>
      </c>
      <c r="H1554" s="1">
        <v>0.9967382</v>
      </c>
      <c r="I1554" s="1" t="s">
        <v>1052</v>
      </c>
    </row>
    <row r="1555">
      <c r="A1555" s="2" t="str">
        <f>HYPERLINK("https://ui.adsabs.harvard.edu/abs/2019Quant...3..160S/abstract","2019Quant...3..160S")</f>
        <v>2019Quant...3..160S</v>
      </c>
      <c r="E1555" s="2" t="str">
        <f>HYPERLINK("https://ui.adsabs.harvard.edu/abs/2017arXiv171200081S/abstract","2017arXiv171200081S")</f>
        <v>2017arXiv171200081S</v>
      </c>
      <c r="G1555" s="1" t="s">
        <v>72</v>
      </c>
      <c r="H1555" s="1">
        <v>0.9967382</v>
      </c>
      <c r="I1555" s="1" t="s">
        <v>1052</v>
      </c>
    </row>
    <row r="1556">
      <c r="A1556" s="2" t="str">
        <f>HYPERLINK("https://ui.adsabs.harvard.edu/abs/2020Quant...4..225V/abstract","2020Quant...4..225V")</f>
        <v>2020Quant...4..225V</v>
      </c>
      <c r="E1556" s="2" t="str">
        <f>HYPERLINK("https://ui.adsabs.harvard.edu/abs/2018arXiv180900556V/abstract","2018arXiv180900556V")</f>
        <v>2018arXiv180900556V</v>
      </c>
      <c r="G1556" s="1" t="s">
        <v>72</v>
      </c>
      <c r="H1556" s="1">
        <v>0.9967382</v>
      </c>
      <c r="I1556" s="1" t="s">
        <v>1052</v>
      </c>
    </row>
    <row r="1557">
      <c r="A1557" s="2" t="str">
        <f>HYPERLINK("https://ui.adsabs.harvard.edu/abs/2020Quant...4..312C/abstract","2020Quant...4..312C")</f>
        <v>2020Quant...4..312C</v>
      </c>
      <c r="E1557" s="2" t="str">
        <f>HYPERLINK("https://ui.adsabs.harvard.edu/abs/2018arXiv180410309C/abstract","2018arXiv180410309C")</f>
        <v>2018arXiv180410309C</v>
      </c>
      <c r="G1557" s="1" t="s">
        <v>72</v>
      </c>
      <c r="H1557" s="1">
        <v>0.9967382</v>
      </c>
      <c r="I1557" s="1" t="s">
        <v>1052</v>
      </c>
    </row>
    <row r="1558">
      <c r="A1558" s="2" t="str">
        <f>HYPERLINK("https://ui.adsabs.harvard.edu/abs/2020Quant...4..349J/abstract","2020Quant...4..349J")</f>
        <v>2020Quant...4..349J</v>
      </c>
      <c r="E1558" s="2" t="str">
        <f>HYPERLINK("https://ui.adsabs.harvard.edu/abs/2018arXiv180204926J/abstract","2018arXiv180204926J")</f>
        <v>2018arXiv180204926J</v>
      </c>
      <c r="G1558" s="1" t="s">
        <v>72</v>
      </c>
      <c r="H1558" s="1">
        <v>0.9967382</v>
      </c>
      <c r="I1558" s="1" t="s">
        <v>1052</v>
      </c>
    </row>
    <row r="1559">
      <c r="A1559" s="2" t="str">
        <f>HYPERLINK("https://ui.adsabs.harvard.edu/abs/2021Quant...5..411K/abstract","2021Quant...5..411K")</f>
        <v>2021Quant...5..411K</v>
      </c>
      <c r="E1559" s="2" t="str">
        <f>HYPERLINK("https://ui.adsabs.harvard.edu/abs/2019arXiv191207968K/abstract","2019arXiv191207968K")</f>
        <v>2019arXiv191207968K</v>
      </c>
      <c r="G1559" s="1" t="s">
        <v>72</v>
      </c>
      <c r="H1559" s="1">
        <v>0.9967382</v>
      </c>
      <c r="I1559" s="1" t="s">
        <v>1052</v>
      </c>
    </row>
    <row r="1560">
      <c r="A1560" s="2" t="str">
        <f>HYPERLINK("https://ui.adsabs.harvard.edu/abs/2022Quant...6..708A/abstract","2022Quant...6..708A")</f>
        <v>2022Quant...6..708A</v>
      </c>
      <c r="E1560" s="2" t="str">
        <f>HYPERLINK("https://ui.adsabs.harvard.edu/abs/2020arXiv201200490A/abstract","2020arXiv201200490A")</f>
        <v>2020arXiv201200490A</v>
      </c>
      <c r="G1560" s="1" t="s">
        <v>72</v>
      </c>
      <c r="H1560" s="1">
        <v>0.9967382</v>
      </c>
      <c r="I1560" s="1" t="s">
        <v>1052</v>
      </c>
    </row>
    <row r="1561">
      <c r="A1561" s="2" t="str">
        <f>HYPERLINK("https://ui.adsabs.harvard.edu/abs/2022Quant...6..779G/abstract","2022Quant...6..779G")</f>
        <v>2022Quant...6..779G</v>
      </c>
      <c r="E1561" s="2" t="str">
        <f>HYPERLINK("https://ui.adsabs.harvard.edu/abs/2020arXiv201201441G/abstract","2020arXiv201201441G")</f>
        <v>2020arXiv201201441G</v>
      </c>
      <c r="G1561" s="1" t="s">
        <v>72</v>
      </c>
      <c r="H1561" s="1">
        <v>0.9967382</v>
      </c>
      <c r="I1561" s="1" t="s">
        <v>1052</v>
      </c>
    </row>
    <row r="1562">
      <c r="A1562" s="2" t="str">
        <f>HYPERLINK("https://ui.adsabs.harvard.edu/abs/2022Quant...6..789A/abstract","2022Quant...6..789A")</f>
        <v>2022Quant...6..789A</v>
      </c>
      <c r="E1562" s="2" t="str">
        <f>HYPERLINK("https://ui.adsabs.harvard.edu/abs/2020arXiv200911270A/abstract","2020arXiv200911270A")</f>
        <v>2020arXiv200911270A</v>
      </c>
      <c r="G1562" s="1" t="s">
        <v>72</v>
      </c>
      <c r="H1562" s="1">
        <v>0.9967382</v>
      </c>
      <c r="I1562" s="1" t="s">
        <v>1052</v>
      </c>
    </row>
    <row r="1563">
      <c r="A1563" s="2" t="str">
        <f>HYPERLINK("https://ui.adsabs.harvard.edu/abs/2023QuIP...22...60D/abstract","2023QuIP...22...60D")</f>
        <v>2023QuIP...22...60D</v>
      </c>
      <c r="E1563" s="2" t="str">
        <f>HYPERLINK("https://ui.adsabs.harvard.edu/abs/2021arXiv210710214D/abstract","2021arXiv210710214D")</f>
        <v>2021arXiv210710214D</v>
      </c>
      <c r="G1563" s="1" t="s">
        <v>72</v>
      </c>
      <c r="H1563" s="1">
        <v>0.9967784</v>
      </c>
      <c r="I1563" s="1" t="s">
        <v>1053</v>
      </c>
    </row>
    <row r="1564">
      <c r="A1564" s="2" t="str">
        <f>HYPERLINK("https://ui.adsabs.harvard.edu/abs/2023JHEP...01..064V/abstract","2023JHEP...01..064V")</f>
        <v>2023JHEP...01..064V</v>
      </c>
      <c r="E1564" s="2" t="str">
        <f>HYPERLINK("https://ui.adsabs.harvard.edu/abs/2021arXiv211200020V/abstract","2021arXiv211200020V")</f>
        <v>2021arXiv211200020V</v>
      </c>
      <c r="G1564" s="1" t="s">
        <v>72</v>
      </c>
      <c r="H1564" s="1">
        <v>0.9967784</v>
      </c>
      <c r="I1564" s="1" t="s">
        <v>1053</v>
      </c>
    </row>
    <row r="1565">
      <c r="A1565" s="2" t="str">
        <f>HYPERLINK("https://ui.adsabs.harvard.edu/abs/2023JCoPh.47611911B/abstract","2023JCoPh.47611911B")</f>
        <v>2023JCoPh.47611911B</v>
      </c>
      <c r="E1565" s="2" t="str">
        <f>HYPERLINK("https://ui.adsabs.harvard.edu/abs/2021arXiv210909151B/abstract","2021arXiv210909151B")</f>
        <v>2021arXiv210909151B</v>
      </c>
      <c r="G1565" s="1" t="s">
        <v>72</v>
      </c>
      <c r="H1565" s="1">
        <v>0.9967784</v>
      </c>
      <c r="I1565" s="1" t="s">
        <v>1053</v>
      </c>
    </row>
    <row r="1566">
      <c r="A1566" s="2" t="str">
        <f>HYPERLINK("https://ui.adsabs.harvard.edu/abs/2023PhRvD.107b1301P/abstract","2023PhRvD.107b1301P")</f>
        <v>2023PhRvD.107b1301P</v>
      </c>
      <c r="E1566" s="2" t="str">
        <f>HYPERLINK("https://ui.adsabs.harvard.edu/abs/2021arXiv211205710P/abstract","2021arXiv211205710P")</f>
        <v>2021arXiv211205710P</v>
      </c>
      <c r="G1566" s="1" t="s">
        <v>72</v>
      </c>
      <c r="H1566" s="1">
        <v>0.9967784</v>
      </c>
      <c r="I1566" s="1" t="s">
        <v>1053</v>
      </c>
    </row>
    <row r="1567">
      <c r="A1567" s="2" t="str">
        <f>HYPERLINK("https://ui.adsabs.harvard.edu/abs/2023PhRvL.130c1803E/abstract","2023PhRvL.130c1803E")</f>
        <v>2023PhRvL.130c1803E</v>
      </c>
      <c r="E1567" s="2" t="str">
        <f>HYPERLINK("https://ui.adsabs.harvard.edu/abs/2021arXiv211203920E/abstract","2021arXiv211203920E")</f>
        <v>2021arXiv211203920E</v>
      </c>
      <c r="G1567" s="1" t="s">
        <v>72</v>
      </c>
      <c r="H1567" s="1">
        <v>0.9967784</v>
      </c>
      <c r="I1567" s="1" t="s">
        <v>1053</v>
      </c>
    </row>
    <row r="1568">
      <c r="A1568" s="2" t="str">
        <f>HYPERLINK("https://ui.adsabs.harvard.edu/abs/2023PhRvL.130c2501N/abstract","2023PhRvL.130c2501N")</f>
        <v>2023PhRvL.130c2501N</v>
      </c>
      <c r="E1568" s="2" t="str">
        <f>HYPERLINK("https://ui.adsabs.harvard.edu/abs/2021arXiv211112775N/abstract","2021arXiv211112775N")</f>
        <v>2021arXiv211112775N</v>
      </c>
      <c r="G1568" s="1" t="s">
        <v>72</v>
      </c>
      <c r="H1568" s="1">
        <v>0.9967784</v>
      </c>
      <c r="I1568" s="1" t="s">
        <v>1053</v>
      </c>
    </row>
    <row r="1569">
      <c r="A1569" s="2" t="str">
        <f>HYPERLINK("https://ui.adsabs.harvard.edu/abs/2017Quant...1....6H/abstract","2017Quant...1....6H")</f>
        <v>2017Quant...1....6H</v>
      </c>
      <c r="E1569" s="2" t="str">
        <f>HYPERLINK("https://ui.adsabs.harvard.edu/abs/2015arXiv150700739H/abstract","2015arXiv150700739H")</f>
        <v>2015arXiv150700739H</v>
      </c>
      <c r="G1569" s="1" t="s">
        <v>72</v>
      </c>
      <c r="H1569" s="1">
        <v>0.9967784</v>
      </c>
      <c r="I1569" s="1" t="s">
        <v>1053</v>
      </c>
    </row>
    <row r="1570">
      <c r="A1570" s="2" t="str">
        <f>HYPERLINK("https://ui.adsabs.harvard.edu/abs/2017Quant...1...14T/abstract","2017Quant...1...14T")</f>
        <v>2017Quant...1...14T</v>
      </c>
      <c r="E1570" s="2" t="str">
        <f>HYPERLINK("https://ui.adsabs.harvard.edu/abs/2015arXiv150608458T/abstract","2015arXiv150608458T")</f>
        <v>2015arXiv150608458T</v>
      </c>
      <c r="G1570" s="1" t="s">
        <v>72</v>
      </c>
      <c r="H1570" s="1">
        <v>0.9967784</v>
      </c>
      <c r="I1570" s="1" t="s">
        <v>1053</v>
      </c>
    </row>
    <row r="1571">
      <c r="A1571" s="2" t="str">
        <f>HYPERLINK("https://ui.adsabs.harvard.edu/abs/2017Quant...1...22E/abstract","2017Quant...1...22E")</f>
        <v>2017Quant...1...22E</v>
      </c>
      <c r="E1571" s="2" t="str">
        <f>HYPERLINK("https://ui.adsabs.harvard.edu/abs/2015arXiv151205315E/abstract","2015arXiv151205315E")</f>
        <v>2015arXiv151205315E</v>
      </c>
      <c r="G1571" s="1" t="s">
        <v>72</v>
      </c>
      <c r="H1571" s="1">
        <v>0.9967784</v>
      </c>
      <c r="I1571" s="1" t="s">
        <v>1053</v>
      </c>
    </row>
    <row r="1572">
      <c r="A1572" s="2" t="str">
        <f>HYPERLINK("https://ui.adsabs.harvard.edu/abs/2017Quant...1...28L/abstract","2017Quant...1...28L")</f>
        <v>2017Quant...1...28L</v>
      </c>
      <c r="E1572" s="2" t="str">
        <f>HYPERLINK("https://ui.adsabs.harvard.edu/abs/2015arXiv151001366L/abstract","2015arXiv151001366L")</f>
        <v>2015arXiv151001366L</v>
      </c>
      <c r="G1572" s="1" t="s">
        <v>72</v>
      </c>
      <c r="H1572" s="1">
        <v>0.9967784</v>
      </c>
      <c r="I1572" s="1" t="s">
        <v>1053</v>
      </c>
    </row>
    <row r="1573">
      <c r="A1573" s="2" t="str">
        <f>HYPERLINK("https://ui.adsabs.harvard.edu/abs/2018Quant...2...52L/abstract","2018Quant...2...52L")</f>
        <v>2018Quant...2...52L</v>
      </c>
      <c r="E1573" s="2" t="str">
        <f>HYPERLINK("https://ui.adsabs.harvard.edu/abs/2016arXiv160700394L/abstract","2016arXiv160700394L")</f>
        <v>2016arXiv160700394L</v>
      </c>
      <c r="G1573" s="1" t="s">
        <v>72</v>
      </c>
      <c r="H1573" s="1">
        <v>0.9967784</v>
      </c>
      <c r="I1573" s="1" t="s">
        <v>1053</v>
      </c>
    </row>
    <row r="1574">
      <c r="A1574" s="2" t="str">
        <f>HYPERLINK("https://ui.adsabs.harvard.edu/abs/2018Quant...2...54S/abstract","2018Quant...2...54S")</f>
        <v>2018Quant...2...54S</v>
      </c>
      <c r="E1574" s="2" t="str">
        <f>HYPERLINK("https://ui.adsabs.harvard.edu/abs/2016arXiv160506092S/abstract","2016arXiv160506092S")</f>
        <v>2016arXiv160506092S</v>
      </c>
      <c r="G1574" s="1" t="s">
        <v>72</v>
      </c>
      <c r="H1574" s="1">
        <v>0.9967784</v>
      </c>
      <c r="I1574" s="1" t="s">
        <v>1053</v>
      </c>
    </row>
    <row r="1575">
      <c r="A1575" s="2" t="str">
        <f>HYPERLINK("https://ui.adsabs.harvard.edu/abs/2018Quant...2...57W/abstract","2018Quant...2...57W")</f>
        <v>2018Quant...2...57W</v>
      </c>
      <c r="E1575" s="2" t="str">
        <f>HYPERLINK("https://ui.adsabs.harvard.edu/abs/2016arXiv160502078W/abstract","2016arXiv160502078W")</f>
        <v>2016arXiv160502078W</v>
      </c>
      <c r="G1575" s="1" t="s">
        <v>72</v>
      </c>
      <c r="H1575" s="1">
        <v>0.9967784</v>
      </c>
      <c r="I1575" s="1" t="s">
        <v>1053</v>
      </c>
    </row>
    <row r="1576">
      <c r="A1576" s="2" t="str">
        <f>HYPERLINK("https://ui.adsabs.harvard.edu/abs/2018Quant...2...72L/abstract","2018Quant...2...72L")</f>
        <v>2018Quant...2...72L</v>
      </c>
      <c r="E1576" s="2" t="str">
        <f>HYPERLINK("https://ui.adsabs.harvard.edu/abs/2016arXiv160609514L/abstract","2016arXiv160609514L")</f>
        <v>2016arXiv160609514L</v>
      </c>
      <c r="G1576" s="1" t="s">
        <v>72</v>
      </c>
      <c r="H1576" s="1">
        <v>0.9967784</v>
      </c>
      <c r="I1576" s="1" t="s">
        <v>1053</v>
      </c>
    </row>
    <row r="1577">
      <c r="A1577" s="2" t="str">
        <f>HYPERLINK("https://ui.adsabs.harvard.edu/abs/2018Quant...2...94B/abstract","2018Quant...2...94B")</f>
        <v>2018Quant...2...94B</v>
      </c>
      <c r="E1577" s="2" t="str">
        <f>HYPERLINK("https://ui.adsabs.harvard.edu/abs/2016arXiv160908571B/abstract","2016arXiv160908571B")</f>
        <v>2016arXiv160908571B</v>
      </c>
      <c r="G1577" s="1" t="s">
        <v>72</v>
      </c>
      <c r="H1577" s="1">
        <v>0.9967784</v>
      </c>
      <c r="I1577" s="1" t="s">
        <v>1053</v>
      </c>
    </row>
    <row r="1578">
      <c r="A1578" s="2" t="str">
        <f>HYPERLINK("https://ui.adsabs.harvard.edu/abs/2019Quant...3..116D/abstract","2019Quant...3..116D")</f>
        <v>2019Quant...3..116D</v>
      </c>
      <c r="E1578" s="2" t="str">
        <f>HYPERLINK("https://ui.adsabs.harvard.edu/abs/2017arXiv171207311D/abstract","2017arXiv171207311D")</f>
        <v>2017arXiv171207311D</v>
      </c>
      <c r="G1578" s="1" t="s">
        <v>72</v>
      </c>
      <c r="H1578" s="1">
        <v>0.9967784</v>
      </c>
      <c r="I1578" s="1" t="s">
        <v>1053</v>
      </c>
    </row>
    <row r="1579">
      <c r="A1579" s="2" t="str">
        <f>HYPERLINK("https://ui.adsabs.harvard.edu/abs/2019Quant...3..123K/abstract","2019Quant...3..123K")</f>
        <v>2019Quant...3..123K</v>
      </c>
      <c r="E1579" s="2" t="str">
        <f>HYPERLINK("https://ui.adsabs.harvard.edu/abs/2017arXiv171209762K/abstract","2017arXiv171209762K")</f>
        <v>2017arXiv171209762K</v>
      </c>
      <c r="G1579" s="1" t="s">
        <v>72</v>
      </c>
      <c r="H1579" s="1">
        <v>0.9967784</v>
      </c>
      <c r="I1579" s="1" t="s">
        <v>1053</v>
      </c>
    </row>
    <row r="1580">
      <c r="A1580" s="2" t="str">
        <f>HYPERLINK("https://ui.adsabs.harvard.edu/abs/2019Quant...3..125S/abstract","2019Quant...3..125S")</f>
        <v>2019Quant...3..125S</v>
      </c>
      <c r="E1580" s="2" t="str">
        <f>HYPERLINK("https://ui.adsabs.harvard.edu/abs/2017arXiv170901135S/abstract","2017arXiv170901135S")</f>
        <v>2017arXiv170901135S</v>
      </c>
      <c r="G1580" s="1" t="s">
        <v>72</v>
      </c>
      <c r="H1580" s="1">
        <v>0.9967784</v>
      </c>
      <c r="I1580" s="1" t="s">
        <v>1053</v>
      </c>
    </row>
    <row r="1581">
      <c r="A1581" s="2" t="str">
        <f>HYPERLINK("https://ui.adsabs.harvard.edu/abs/2019Quant...3..131N/abstract","2019Quant...3..131N")</f>
        <v>2019Quant...3..131N</v>
      </c>
      <c r="E1581" s="2" t="str">
        <f>HYPERLINK("https://ui.adsabs.harvard.edu/abs/2017arXiv171200502N/abstract","2017arXiv171200502N")</f>
        <v>2017arXiv171200502N</v>
      </c>
      <c r="G1581" s="1" t="s">
        <v>72</v>
      </c>
      <c r="H1581" s="1">
        <v>0.9967784</v>
      </c>
      <c r="I1581" s="1" t="s">
        <v>1053</v>
      </c>
    </row>
    <row r="1582">
      <c r="A1582" s="2" t="str">
        <f>HYPERLINK("https://ui.adsabs.harvard.edu/abs/2019Quant...3..134K/abstract","2019Quant...3..134K")</f>
        <v>2019Quant...3..134K</v>
      </c>
      <c r="E1582" s="2" t="str">
        <f>HYPERLINK("https://ui.adsabs.harvard.edu/abs/2017arXiv170406504K/abstract","2017arXiv170406504K")</f>
        <v>2017arXiv170406504K</v>
      </c>
      <c r="G1582" s="1" t="s">
        <v>72</v>
      </c>
      <c r="H1582" s="1">
        <v>0.9967784</v>
      </c>
      <c r="I1582" s="1" t="s">
        <v>1053</v>
      </c>
    </row>
    <row r="1583">
      <c r="A1583" s="2" t="str">
        <f>HYPERLINK("https://ui.adsabs.harvard.edu/abs/2019Quant...3..146B/abstract","2019Quant...3..146B")</f>
        <v>2019Quant...3..146B</v>
      </c>
      <c r="E1583" s="2" t="str">
        <f>HYPERLINK("https://ui.adsabs.harvard.edu/abs/2017arXiv170509213B/abstract","2017arXiv170509213B")</f>
        <v>2017arXiv170509213B</v>
      </c>
      <c r="G1583" s="1" t="s">
        <v>72</v>
      </c>
      <c r="H1583" s="1">
        <v>0.9967784</v>
      </c>
      <c r="I1583" s="1" t="s">
        <v>1053</v>
      </c>
    </row>
    <row r="1584">
      <c r="A1584" s="2" t="str">
        <f>HYPERLINK("https://ui.adsabs.harvard.edu/abs/2019Quant...3..153B/abstract","2019Quant...3..153B")</f>
        <v>2019Quant...3..153B</v>
      </c>
      <c r="E1584" s="2" t="str">
        <f>HYPERLINK("https://ui.adsabs.harvard.edu/abs/2017arXiv171207128B/abstract","2017arXiv171207128B")</f>
        <v>2017arXiv171207128B</v>
      </c>
      <c r="G1584" s="1" t="s">
        <v>72</v>
      </c>
      <c r="H1584" s="1">
        <v>0.9967784</v>
      </c>
      <c r="I1584" s="1" t="s">
        <v>1053</v>
      </c>
    </row>
    <row r="1585">
      <c r="A1585" s="2" t="str">
        <f>HYPERLINK("https://ui.adsabs.harvard.edu/abs/2019Quant...3..159Q/abstract","2019Quant...3..159Q")</f>
        <v>2019Quant...3..159Q</v>
      </c>
      <c r="E1585" s="2" t="str">
        <f>HYPERLINK("https://ui.adsabs.harvard.edu/abs/2017arXiv171201850Q/abstract","2017arXiv171201850Q")</f>
        <v>2017arXiv171201850Q</v>
      </c>
      <c r="G1585" s="1" t="s">
        <v>72</v>
      </c>
      <c r="H1585" s="1">
        <v>0.9967784</v>
      </c>
      <c r="I1585" s="1" t="s">
        <v>1053</v>
      </c>
    </row>
    <row r="1586">
      <c r="A1586" s="2" t="str">
        <f>HYPERLINK("https://ui.adsabs.harvard.edu/abs/2019Quant...3..164K/abstract","2019Quant...3..164K")</f>
        <v>2019Quant...3..164K</v>
      </c>
      <c r="E1586" s="2" t="str">
        <f>HYPERLINK("https://ui.adsabs.harvard.edu/abs/2017arXiv170309568K/abstract","2017arXiv170309568K")</f>
        <v>2017arXiv170309568K</v>
      </c>
      <c r="G1586" s="1" t="s">
        <v>72</v>
      </c>
      <c r="H1586" s="1">
        <v>0.9967784</v>
      </c>
      <c r="I1586" s="1" t="s">
        <v>1053</v>
      </c>
    </row>
    <row r="1587">
      <c r="A1587" s="2" t="str">
        <f>HYPERLINK("https://ui.adsabs.harvard.edu/abs/2019Quant...3..169G/abstract","2019Quant...3..169G")</f>
        <v>2019Quant...3..169G</v>
      </c>
      <c r="E1587" s="2" t="str">
        <f>HYPERLINK("https://ui.adsabs.harvard.edu/abs/2017arXiv171210037G/abstract","2017arXiv171210037G")</f>
        <v>2017arXiv171210037G</v>
      </c>
      <c r="G1587" s="1" t="s">
        <v>72</v>
      </c>
      <c r="H1587" s="1">
        <v>0.9967784</v>
      </c>
      <c r="I1587" s="1" t="s">
        <v>1053</v>
      </c>
    </row>
    <row r="1588">
      <c r="A1588" s="2" t="str">
        <f>HYPERLINK("https://ui.adsabs.harvard.edu/abs/2019Quant...3..171K/abstract","2019Quant...3..171K")</f>
        <v>2019Quant...3..171K</v>
      </c>
      <c r="E1588" s="2" t="str">
        <f>HYPERLINK("https://ui.adsabs.harvard.edu/abs/2017arXiv170103135K/abstract","2017arXiv170103135K")</f>
        <v>2017arXiv170103135K</v>
      </c>
      <c r="G1588" s="1" t="s">
        <v>72</v>
      </c>
      <c r="H1588" s="1">
        <v>0.9967784</v>
      </c>
      <c r="I1588" s="1" t="s">
        <v>1053</v>
      </c>
    </row>
    <row r="1589">
      <c r="A1589" s="2" t="str">
        <f>HYPERLINK("https://ui.adsabs.harvard.edu/abs/2020Quant...4..219K/abstract","2020Quant...4..219K")</f>
        <v>2020Quant...4..219K</v>
      </c>
      <c r="E1589" s="2" t="str">
        <f>HYPERLINK("https://ui.adsabs.harvard.edu/abs/2018arXiv180502083K/abstract","2018arXiv180502083K")</f>
        <v>2018arXiv180502083K</v>
      </c>
      <c r="G1589" s="1" t="s">
        <v>72</v>
      </c>
      <c r="H1589" s="1">
        <v>0.9967784</v>
      </c>
      <c r="I1589" s="1" t="s">
        <v>1053</v>
      </c>
    </row>
    <row r="1590">
      <c r="A1590" s="2" t="str">
        <f>HYPERLINK("https://ui.adsabs.harvard.edu/abs/2020Quant...4..220V/abstract","2020Quant...4..220V")</f>
        <v>2020Quant...4..220V</v>
      </c>
      <c r="E1590" s="2" t="str">
        <f>HYPERLINK("https://ui.adsabs.harvard.edu/abs/2018arXiv180900643V/abstract","2018arXiv180900643V")</f>
        <v>2018arXiv180900643V</v>
      </c>
      <c r="G1590" s="1" t="s">
        <v>72</v>
      </c>
      <c r="H1590" s="1">
        <v>0.9967784</v>
      </c>
      <c r="I1590" s="1" t="s">
        <v>1053</v>
      </c>
    </row>
    <row r="1591">
      <c r="A1591" s="2" t="str">
        <f>HYPERLINK("https://ui.adsabs.harvard.edu/abs/2020Quant...4..221C/abstract","2020Quant...4..221C")</f>
        <v>2020Quant...4..221C</v>
      </c>
      <c r="E1591" s="2" t="str">
        <f>HYPERLINK("https://ui.adsabs.harvard.edu/abs/2018arXiv180901731C/abstract","2018arXiv180901731C")</f>
        <v>2018arXiv180901731C</v>
      </c>
      <c r="G1591" s="1" t="s">
        <v>72</v>
      </c>
      <c r="H1591" s="1">
        <v>0.9967784</v>
      </c>
      <c r="I1591" s="1" t="s">
        <v>1053</v>
      </c>
    </row>
    <row r="1592">
      <c r="A1592" s="2" t="str">
        <f>HYPERLINK("https://ui.adsabs.harvard.edu/abs/2020Quant...4..222G/abstract","2020Quant...4..222G")</f>
        <v>2020Quant...4..222G</v>
      </c>
      <c r="E1592" s="2" t="str">
        <f>HYPERLINK("https://ui.adsabs.harvard.edu/abs/2018arXiv180511899G/abstract","2018arXiv180511899G")</f>
        <v>2018arXiv180511899G</v>
      </c>
      <c r="G1592" s="1" t="s">
        <v>72</v>
      </c>
      <c r="H1592" s="1">
        <v>0.9967784</v>
      </c>
      <c r="I1592" s="1" t="s">
        <v>1053</v>
      </c>
    </row>
    <row r="1593">
      <c r="A1593" s="2" t="str">
        <f>HYPERLINK("https://ui.adsabs.harvard.edu/abs/2020Quant...4..236W/abstract","2020Quant...4..236W")</f>
        <v>2020Quant...4..236W</v>
      </c>
      <c r="E1593" s="2" t="str">
        <f>HYPERLINK("https://ui.adsabs.harvard.edu/abs/2018arXiv181204327W/abstract","2018arXiv181204327W")</f>
        <v>2018arXiv181204327W</v>
      </c>
      <c r="G1593" s="1" t="s">
        <v>72</v>
      </c>
      <c r="H1593" s="1">
        <v>0.9967784</v>
      </c>
      <c r="I1593" s="1" t="s">
        <v>1053</v>
      </c>
    </row>
    <row r="1594">
      <c r="A1594" s="2" t="str">
        <f>HYPERLINK("https://ui.adsabs.harvard.edu/abs/2020Quant...4..242R/abstract","2020Quant...4..242R")</f>
        <v>2020Quant...4..242R</v>
      </c>
      <c r="E1594" s="2" t="str">
        <f>HYPERLINK("https://ui.adsabs.harvard.edu/abs/2018arXiv181208218R/abstract","2018arXiv181208218R")</f>
        <v>2018arXiv181208218R</v>
      </c>
      <c r="G1594" s="1" t="s">
        <v>72</v>
      </c>
      <c r="H1594" s="1">
        <v>0.9967784</v>
      </c>
      <c r="I1594" s="1" t="s">
        <v>1053</v>
      </c>
    </row>
    <row r="1595">
      <c r="A1595" s="2" t="str">
        <f>HYPERLINK("https://ui.adsabs.harvard.edu/abs/2020Quant...4..243W/abstract","2020Quant...4..243W")</f>
        <v>2020Quant...4..243W</v>
      </c>
      <c r="E1595" s="2" t="str">
        <f>HYPERLINK("https://ui.adsabs.harvard.edu/abs/2018arXiv181202628W/abstract","2018arXiv181202628W")</f>
        <v>2018arXiv181202628W</v>
      </c>
      <c r="G1595" s="1" t="s">
        <v>72</v>
      </c>
      <c r="H1595" s="1">
        <v>0.9967784</v>
      </c>
      <c r="I1595" s="1" t="s">
        <v>1053</v>
      </c>
    </row>
    <row r="1596">
      <c r="A1596" s="2" t="str">
        <f>HYPERLINK("https://ui.adsabs.harvard.edu/abs/2020Quant...4..259S/abstract","2020Quant...4..259S")</f>
        <v>2020Quant...4..259S</v>
      </c>
      <c r="E1596" s="2" t="str">
        <f>HYPERLINK("https://ui.adsabs.harvard.edu/abs/2018arXiv180604937S/abstract","2018arXiv180604937S")</f>
        <v>2018arXiv180604937S</v>
      </c>
      <c r="G1596" s="1" t="s">
        <v>72</v>
      </c>
      <c r="H1596" s="1">
        <v>0.9967784</v>
      </c>
      <c r="I1596" s="1" t="s">
        <v>1053</v>
      </c>
    </row>
    <row r="1597">
      <c r="A1597" s="2" t="str">
        <f>HYPERLINK("https://ui.adsabs.harvard.edu/abs/2020Quant...4..260K/abstract","2020Quant...4..260K")</f>
        <v>2020Quant...4..260K</v>
      </c>
      <c r="E1597" s="2" t="str">
        <f>HYPERLINK("https://ui.adsabs.harvard.edu/abs/2018arXiv180307089K/abstract","2018arXiv180307089K")</f>
        <v>2018arXiv180307089K</v>
      </c>
      <c r="G1597" s="1" t="s">
        <v>72</v>
      </c>
      <c r="H1597" s="1">
        <v>0.9967784</v>
      </c>
      <c r="I1597" s="1" t="s">
        <v>1053</v>
      </c>
    </row>
    <row r="1598">
      <c r="A1598" s="2" t="str">
        <f>HYPERLINK("https://ui.adsabs.harvard.edu/abs/2020Quant...4..271A/abstract","2020Quant...4..271A")</f>
        <v>2020Quant...4..271A</v>
      </c>
      <c r="E1598" s="2" t="str">
        <f>HYPERLINK("https://ui.adsabs.harvard.edu/abs/2018arXiv180600444A/abstract","2018arXiv180600444A")</f>
        <v>2018arXiv180600444A</v>
      </c>
      <c r="G1598" s="1" t="s">
        <v>72</v>
      </c>
      <c r="H1598" s="1">
        <v>0.9967784</v>
      </c>
      <c r="I1598" s="1" t="s">
        <v>1053</v>
      </c>
    </row>
    <row r="1599">
      <c r="A1599" s="2" t="str">
        <f>HYPERLINK("https://ui.adsabs.harvard.edu/abs/2020Quant...4..289B/abstract","2020Quant...4..289B")</f>
        <v>2020Quant...4..289B</v>
      </c>
      <c r="E1599" s="2" t="str">
        <f>HYPERLINK("https://ui.adsabs.harvard.edu/abs/2018arXiv180909570B/abstract","2018arXiv180909570B")</f>
        <v>2018arXiv180909570B</v>
      </c>
      <c r="G1599" s="1" t="s">
        <v>72</v>
      </c>
      <c r="H1599" s="1">
        <v>0.9967784</v>
      </c>
      <c r="I1599" s="1" t="s">
        <v>1053</v>
      </c>
    </row>
    <row r="1600">
      <c r="A1600" s="2" t="str">
        <f>HYPERLINK("https://ui.adsabs.harvard.edu/abs/2020Quant...4..308R/abstract","2020Quant...4..308R")</f>
        <v>2020Quant...4..308R</v>
      </c>
      <c r="E1600" s="2" t="str">
        <f>HYPERLINK("https://ui.adsabs.harvard.edu/abs/2018arXiv180700113R/abstract","2018arXiv180700113R")</f>
        <v>2018arXiv180700113R</v>
      </c>
      <c r="G1600" s="1" t="s">
        <v>72</v>
      </c>
      <c r="H1600" s="1">
        <v>0.9967784</v>
      </c>
      <c r="I1600" s="1" t="s">
        <v>1053</v>
      </c>
    </row>
    <row r="1601">
      <c r="A1601" s="2" t="str">
        <f>HYPERLINK("https://ui.adsabs.harvard.edu/abs/2020Quant...4..333A/abstract","2020Quant...4..333A")</f>
        <v>2020Quant...4..333A</v>
      </c>
      <c r="E1601" s="2" t="str">
        <f>HYPERLINK("https://ui.adsabs.harvard.edu/abs/2018arXiv181009826A/abstract","2018arXiv181009826A")</f>
        <v>2018arXiv181009826A</v>
      </c>
      <c r="G1601" s="1" t="s">
        <v>72</v>
      </c>
      <c r="H1601" s="1">
        <v>0.9967784</v>
      </c>
      <c r="I1601" s="1" t="s">
        <v>1053</v>
      </c>
    </row>
    <row r="1602">
      <c r="A1602" s="2" t="str">
        <f>HYPERLINK("https://ui.adsabs.harvard.edu/abs/2021Quant...5..391O/abstract","2021Quant...5..391O")</f>
        <v>2021Quant...5..391O</v>
      </c>
      <c r="E1602" s="2" t="str">
        <f>HYPERLINK("https://ui.adsabs.harvard.edu/abs/2019arXiv190509692O/abstract","2019arXiv190509692O")</f>
        <v>2019arXiv190509692O</v>
      </c>
      <c r="G1602" s="1" t="s">
        <v>72</v>
      </c>
      <c r="H1602" s="1">
        <v>0.9967784</v>
      </c>
      <c r="I1602" s="1" t="s">
        <v>1053</v>
      </c>
    </row>
    <row r="1603">
      <c r="A1603" s="2" t="str">
        <f>HYPERLINK("https://ui.adsabs.harvard.edu/abs/2021Quant...5..405L/abstract","2021Quant...5..405L")</f>
        <v>2021Quant...5..405L</v>
      </c>
      <c r="E1603" s="2" t="str">
        <f>HYPERLINK("https://ui.adsabs.harvard.edu/abs/2019arXiv190312304L/abstract","2019arXiv190312304L")</f>
        <v>2019arXiv190312304L</v>
      </c>
      <c r="G1603" s="1" t="s">
        <v>72</v>
      </c>
      <c r="H1603" s="1">
        <v>0.9967784</v>
      </c>
      <c r="I1603" s="1" t="s">
        <v>1053</v>
      </c>
    </row>
    <row r="1604">
      <c r="A1604" s="2" t="str">
        <f>HYPERLINK("https://ui.adsabs.harvard.edu/abs/2021Quant...5..408L/abstract","2021Quant...5..408L")</f>
        <v>2021Quant...5..408L</v>
      </c>
      <c r="E1604" s="2" t="str">
        <f>HYPERLINK("https://ui.adsabs.harvard.edu/abs/2019arXiv190512072L/abstract","2019arXiv190512072L")</f>
        <v>2019arXiv190512072L</v>
      </c>
      <c r="G1604" s="1" t="s">
        <v>72</v>
      </c>
      <c r="H1604" s="1">
        <v>0.9967784</v>
      </c>
      <c r="I1604" s="1" t="s">
        <v>1053</v>
      </c>
    </row>
    <row r="1605">
      <c r="A1605" s="2" t="str">
        <f>HYPERLINK("https://ui.adsabs.harvard.edu/abs/2021Quant...5..414L/abstract","2021Quant...5..414L")</f>
        <v>2021Quant...5..414L</v>
      </c>
      <c r="E1605" s="2" t="str">
        <f>HYPERLINK("https://ui.adsabs.harvard.edu/abs/2019arXiv191210592L/abstract","2019arXiv191210592L")</f>
        <v>2019arXiv191210592L</v>
      </c>
      <c r="G1605" s="1" t="s">
        <v>72</v>
      </c>
      <c r="H1605" s="1">
        <v>0.9967784</v>
      </c>
      <c r="I1605" s="1" t="s">
        <v>1053</v>
      </c>
    </row>
    <row r="1606">
      <c r="A1606" s="2" t="str">
        <f>HYPERLINK("https://ui.adsabs.harvard.edu/abs/2021Quant...5..416D/abstract","2021Quant...5..416D")</f>
        <v>2021Quant...5..416D</v>
      </c>
      <c r="E1606" s="2" t="str">
        <f>HYPERLINK("https://ui.adsabs.harvard.edu/abs/2019arXiv190508562D/abstract","2019arXiv190508562D")</f>
        <v>2019arXiv190508562D</v>
      </c>
      <c r="G1606" s="1" t="s">
        <v>72</v>
      </c>
      <c r="H1606" s="1">
        <v>0.9967784</v>
      </c>
      <c r="I1606" s="1" t="s">
        <v>1053</v>
      </c>
    </row>
    <row r="1607">
      <c r="A1607" s="2" t="str">
        <f>HYPERLINK("https://ui.adsabs.harvard.edu/abs/2021Quant...5..418S/abstract","2021Quant...5..418S")</f>
        <v>2021Quant...5..418S</v>
      </c>
      <c r="E1607" s="2" t="str">
        <f>HYPERLINK("https://ui.adsabs.harvard.edu/abs/2019arXiv190912759S/abstract","2019arXiv190912759S")</f>
        <v>2019arXiv190912759S</v>
      </c>
      <c r="G1607" s="1" t="s">
        <v>72</v>
      </c>
      <c r="H1607" s="1">
        <v>0.9967784</v>
      </c>
      <c r="I1607" s="1" t="s">
        <v>1053</v>
      </c>
    </row>
    <row r="1608">
      <c r="A1608" s="2" t="str">
        <f>HYPERLINK("https://ui.adsabs.harvard.edu/abs/2021Quant...5..423S/abstract","2021Quant...5..423S")</f>
        <v>2021Quant...5..423S</v>
      </c>
      <c r="E1608" s="2" t="str">
        <f>HYPERLINK("https://ui.adsabs.harvard.edu/abs/2019arXiv190511458S/abstract","2019arXiv190511458S")</f>
        <v>2019arXiv190511458S</v>
      </c>
      <c r="G1608" s="1" t="s">
        <v>72</v>
      </c>
      <c r="H1608" s="1">
        <v>0.9967784</v>
      </c>
      <c r="I1608" s="1" t="s">
        <v>1053</v>
      </c>
    </row>
    <row r="1609">
      <c r="A1609" s="2" t="str">
        <f>HYPERLINK("https://ui.adsabs.harvard.edu/abs/2021Quant...5..427K/abstract","2021Quant...5..427K")</f>
        <v>2021Quant...5..427K</v>
      </c>
      <c r="E1609" s="2" t="str">
        <f>HYPERLINK("https://ui.adsabs.harvard.edu/abs/2019arXiv190806720K/abstract","2019arXiv190806720K")</f>
        <v>2019arXiv190806720K</v>
      </c>
      <c r="G1609" s="1" t="s">
        <v>72</v>
      </c>
      <c r="H1609" s="1">
        <v>0.9967784</v>
      </c>
      <c r="I1609" s="1" t="s">
        <v>1053</v>
      </c>
    </row>
    <row r="1610">
      <c r="A1610" s="2" t="str">
        <f>HYPERLINK("https://ui.adsabs.harvard.edu/abs/2021Quant...5..428G/abstract","2021Quant...5..428G")</f>
        <v>2021Quant...5..428G</v>
      </c>
      <c r="E1610" s="2" t="str">
        <f>HYPERLINK("https://ui.adsabs.harvard.edu/abs/2019arXiv191204088G/abstract","2019arXiv191204088G")</f>
        <v>2019arXiv191204088G</v>
      </c>
      <c r="G1610" s="1" t="s">
        <v>72</v>
      </c>
      <c r="H1610" s="1">
        <v>0.9967784</v>
      </c>
      <c r="I1610" s="1" t="s">
        <v>1053</v>
      </c>
    </row>
    <row r="1611">
      <c r="A1611" s="2" t="str">
        <f>HYPERLINK("https://ui.adsabs.harvard.edu/abs/2021Quant...5..433G/abstract","2021Quant...5..433G")</f>
        <v>2021Quant...5..433G</v>
      </c>
      <c r="E1611" s="2" t="str">
        <f>HYPERLINK("https://ui.adsabs.harvard.edu/abs/2019arXiv190509749G/abstract","2019arXiv190509749G")</f>
        <v>2019arXiv190509749G</v>
      </c>
      <c r="G1611" s="1" t="s">
        <v>72</v>
      </c>
      <c r="H1611" s="1">
        <v>0.9967784</v>
      </c>
      <c r="I1611" s="1" t="s">
        <v>1053</v>
      </c>
    </row>
    <row r="1612">
      <c r="A1612" s="2" t="str">
        <f>HYPERLINK("https://ui.adsabs.harvard.edu/abs/2021Quant...5..435B/abstract","2021Quant...5..435B")</f>
        <v>2021Quant...5..435B</v>
      </c>
      <c r="E1612" s="2" t="str">
        <f>HYPERLINK("https://ui.adsabs.harvard.edu/abs/2019arXiv190707003B/abstract","2019arXiv190707003B")</f>
        <v>2019arXiv190707003B</v>
      </c>
      <c r="G1612" s="1" t="s">
        <v>72</v>
      </c>
      <c r="H1612" s="1">
        <v>0.9967784</v>
      </c>
      <c r="I1612" s="1" t="s">
        <v>1053</v>
      </c>
    </row>
    <row r="1613">
      <c r="A1613" s="2" t="str">
        <f>HYPERLINK("https://ui.adsabs.harvard.edu/abs/2021Quant...5..447H/abstract","2021Quant...5..447H")</f>
        <v>2021Quant...5..447H</v>
      </c>
      <c r="E1613" s="2" t="str">
        <f>HYPERLINK("https://ui.adsabs.harvard.edu/abs/2019arXiv190503013H/abstract","2019arXiv190503013H")</f>
        <v>2019arXiv190503013H</v>
      </c>
      <c r="G1613" s="1" t="s">
        <v>72</v>
      </c>
      <c r="H1613" s="1">
        <v>0.9967784</v>
      </c>
      <c r="I1613" s="1" t="s">
        <v>1053</v>
      </c>
    </row>
    <row r="1614">
      <c r="A1614" s="2" t="str">
        <f>HYPERLINK("https://ui.adsabs.harvard.edu/abs/2021Quant...5..458M/abstract","2021Quant...5..458M")</f>
        <v>2021Quant...5..458M</v>
      </c>
      <c r="E1614" s="2" t="str">
        <f>HYPERLINK("https://ui.adsabs.harvard.edu/abs/2019arXiv190709004M/abstract","2019arXiv190709004M")</f>
        <v>2019arXiv190709004M</v>
      </c>
      <c r="G1614" s="1" t="s">
        <v>72</v>
      </c>
      <c r="H1614" s="1">
        <v>0.9967784</v>
      </c>
      <c r="I1614" s="1" t="s">
        <v>1053</v>
      </c>
    </row>
    <row r="1615">
      <c r="A1615" s="2" t="str">
        <f>HYPERLINK("https://ui.adsabs.harvard.edu/abs/2021Quant...5..465N/abstract","2021Quant...5..465N")</f>
        <v>2021Quant...5..465N</v>
      </c>
      <c r="E1615" s="2" t="str">
        <f>HYPERLINK("https://ui.adsabs.harvard.edu/abs/2019arXiv191206608N/abstract","2019arXiv191206608N")</f>
        <v>2019arXiv191206608N</v>
      </c>
      <c r="G1615" s="1" t="s">
        <v>72</v>
      </c>
      <c r="H1615" s="1">
        <v>0.9967784</v>
      </c>
      <c r="I1615" s="1" t="s">
        <v>1053</v>
      </c>
    </row>
    <row r="1616">
      <c r="A1616" s="2" t="str">
        <f>HYPERLINK("https://ui.adsabs.harvard.edu/abs/2021Quant...5..475A/abstract","2021Quant...5..475A")</f>
        <v>2021Quant...5..475A</v>
      </c>
      <c r="E1616" s="2" t="str">
        <f>HYPERLINK("https://ui.adsabs.harvard.edu/abs/2019arXiv191002126A/abstract","2019arXiv191002126A")</f>
        <v>2019arXiv191002126A</v>
      </c>
      <c r="G1616" s="1" t="s">
        <v>72</v>
      </c>
      <c r="H1616" s="1">
        <v>0.9967784</v>
      </c>
      <c r="I1616" s="1" t="s">
        <v>1053</v>
      </c>
    </row>
    <row r="1617">
      <c r="A1617" s="2" t="str">
        <f>HYPERLINK("https://ui.adsabs.harvard.edu/abs/2021Quant...5..476H/abstract","2021Quant...5..476H")</f>
        <v>2021Quant...5..476H</v>
      </c>
      <c r="E1617" s="2" t="str">
        <f>HYPERLINK("https://ui.adsabs.harvard.edu/abs/2019arXiv190902941H/abstract","2019arXiv190902941H")</f>
        <v>2019arXiv190902941H</v>
      </c>
      <c r="G1617" s="1" t="s">
        <v>72</v>
      </c>
      <c r="H1617" s="1">
        <v>0.9967784</v>
      </c>
      <c r="I1617" s="1" t="s">
        <v>1053</v>
      </c>
    </row>
    <row r="1618">
      <c r="A1618" s="2" t="str">
        <f>HYPERLINK("https://ui.adsabs.harvard.edu/abs/2021Quant...5..478P/abstract","2021Quant...5..478P")</f>
        <v>2021Quant...5..478P</v>
      </c>
      <c r="E1618" s="2" t="str">
        <f>HYPERLINK("https://ui.adsabs.harvard.edu/abs/2019arXiv190911030P/abstract","2019arXiv190911030P")</f>
        <v>2019arXiv190911030P</v>
      </c>
      <c r="G1618" s="1" t="s">
        <v>72</v>
      </c>
      <c r="H1618" s="1">
        <v>0.9967784</v>
      </c>
      <c r="I1618" s="1" t="s">
        <v>1053</v>
      </c>
    </row>
    <row r="1619">
      <c r="A1619" s="2" t="str">
        <f>HYPERLINK("https://ui.adsabs.harvard.edu/abs/2021Quant...5..518P/abstract","2021Quant...5..518P")</f>
        <v>2021Quant...5..518P</v>
      </c>
      <c r="E1619" s="2" t="str">
        <f>HYPERLINK("https://ui.adsabs.harvard.edu/abs/2019arXiv190905434P/abstract","2019arXiv190905434P")</f>
        <v>2019arXiv190905434P</v>
      </c>
      <c r="G1619" s="1" t="s">
        <v>72</v>
      </c>
      <c r="H1619" s="1">
        <v>0.9967784</v>
      </c>
      <c r="I1619" s="1" t="s">
        <v>1053</v>
      </c>
    </row>
    <row r="1620">
      <c r="A1620" s="2" t="str">
        <f>HYPERLINK("https://ui.adsabs.harvard.edu/abs/2021Quant...5..551A/abstract","2021Quant...5..551A")</f>
        <v>2021Quant...5..551A</v>
      </c>
      <c r="E1620" s="2" t="str">
        <f>HYPERLINK("https://ui.adsabs.harvard.edu/abs/2019arXiv190409766A/abstract","2019arXiv190409766A")</f>
        <v>2019arXiv190409766A</v>
      </c>
      <c r="G1620" s="1" t="s">
        <v>72</v>
      </c>
      <c r="H1620" s="1">
        <v>0.9967784</v>
      </c>
      <c r="I1620" s="1" t="s">
        <v>1053</v>
      </c>
    </row>
    <row r="1621">
      <c r="A1621" s="2" t="str">
        <f>HYPERLINK("https://ui.adsabs.harvard.edu/abs/2021Quant...5..585P/abstract","2021Quant...5..585P")</f>
        <v>2021Quant...5..585P</v>
      </c>
      <c r="E1621" s="2" t="str">
        <f>HYPERLINK("https://ui.adsabs.harvard.edu/abs/2019arXiv190402703P/abstract","2019arXiv190402703P")</f>
        <v>2019arXiv190402703P</v>
      </c>
      <c r="G1621" s="1" t="s">
        <v>72</v>
      </c>
      <c r="H1621" s="1">
        <v>0.9967784</v>
      </c>
      <c r="I1621" s="1" t="s">
        <v>1053</v>
      </c>
    </row>
    <row r="1622">
      <c r="A1622" s="2" t="str">
        <f>HYPERLINK("https://ui.adsabs.harvard.edu/abs/2021Quant...5..596H/abstract","2021Quant...5..596H")</f>
        <v>2021Quant...5..596H</v>
      </c>
      <c r="E1622" s="2" t="str">
        <f>HYPERLINK("https://ui.adsabs.harvard.edu/abs/2019arXiv190708157H/abstract","2019arXiv190708157H")</f>
        <v>2019arXiv190708157H</v>
      </c>
      <c r="G1622" s="1" t="s">
        <v>72</v>
      </c>
      <c r="H1622" s="1">
        <v>0.9967784</v>
      </c>
      <c r="I1622" s="1" t="s">
        <v>1053</v>
      </c>
    </row>
    <row r="1623">
      <c r="A1623" s="2" t="str">
        <f>HYPERLINK("https://ui.adsabs.harvard.edu/abs/2022Quant...6..620T/abstract","2022Quant...6..620T")</f>
        <v>2022Quant...6..620T</v>
      </c>
      <c r="E1623" s="2" t="str">
        <f>HYPERLINK("https://ui.adsabs.harvard.edu/abs/2020arXiv200716145T/abstract","2020arXiv200716145T")</f>
        <v>2020arXiv200716145T</v>
      </c>
      <c r="G1623" s="1" t="s">
        <v>72</v>
      </c>
      <c r="H1623" s="1">
        <v>0.9967784</v>
      </c>
      <c r="I1623" s="1" t="s">
        <v>1053</v>
      </c>
    </row>
    <row r="1624">
      <c r="A1624" s="2" t="str">
        <f>HYPERLINK("https://ui.adsabs.harvard.edu/abs/2022Quant...6..622S/abstract","2022Quant...6..622S")</f>
        <v>2022Quant...6..622S</v>
      </c>
      <c r="E1624" s="2" t="str">
        <f>HYPERLINK("https://ui.adsabs.harvard.edu/abs/2021arXiv210100111S/abstract","2021arXiv210100111S")</f>
        <v>2021arXiv210100111S</v>
      </c>
      <c r="G1624" s="1" t="s">
        <v>72</v>
      </c>
      <c r="H1624" s="1">
        <v>0.9967784</v>
      </c>
      <c r="I1624" s="1" t="s">
        <v>1053</v>
      </c>
    </row>
    <row r="1625">
      <c r="A1625" s="2" t="str">
        <f>HYPERLINK("https://ui.adsabs.harvard.edu/abs/2022Quant...6..626M/abstract","2022Quant...6..626M")</f>
        <v>2022Quant...6..626M</v>
      </c>
      <c r="E1625" s="2" t="str">
        <f>HYPERLINK("https://ui.adsabs.harvard.edu/abs/2020arXiv201013859M/abstract","2020arXiv201013859M")</f>
        <v>2020arXiv201013859M</v>
      </c>
      <c r="G1625" s="1" t="s">
        <v>72</v>
      </c>
      <c r="H1625" s="1">
        <v>0.9967784</v>
      </c>
      <c r="I1625" s="1" t="s">
        <v>1053</v>
      </c>
    </row>
    <row r="1626">
      <c r="A1626" s="2" t="str">
        <f>HYPERLINK("https://ui.adsabs.harvard.edu/abs/2022Quant...6..632P/abstract","2022Quant...6..632P")</f>
        <v>2022Quant...6..632P</v>
      </c>
      <c r="E1626" s="2" t="str">
        <f>HYPERLINK("https://ui.adsabs.harvard.edu/abs/2020arXiv201207911P/abstract","2020arXiv201207911P")</f>
        <v>2020arXiv201207911P</v>
      </c>
      <c r="G1626" s="1" t="s">
        <v>72</v>
      </c>
      <c r="H1626" s="1">
        <v>0.9967784</v>
      </c>
      <c r="I1626" s="1" t="s">
        <v>1053</v>
      </c>
    </row>
    <row r="1627">
      <c r="A1627" s="2" t="str">
        <f>HYPERLINK("https://ui.adsabs.harvard.edu/abs/2022Quant...6..633B/abstract","2022Quant...6..633B")</f>
        <v>2022Quant...6..633B</v>
      </c>
      <c r="E1627" s="2" t="str">
        <f>HYPERLINK("https://ui.adsabs.harvard.edu/abs/2020arXiv201008588B/abstract","2020arXiv201008588B")</f>
        <v>2020arXiv201008588B</v>
      </c>
      <c r="G1627" s="1" t="s">
        <v>72</v>
      </c>
      <c r="H1627" s="1">
        <v>0.9967784</v>
      </c>
      <c r="I1627" s="1" t="s">
        <v>1053</v>
      </c>
    </row>
    <row r="1628">
      <c r="A1628" s="2" t="str">
        <f>HYPERLINK("https://ui.adsabs.harvard.edu/abs/2022Quant...6..636B/abstract","2022Quant...6..636B")</f>
        <v>2022Quant...6..636B</v>
      </c>
      <c r="E1628" s="2" t="str">
        <f>HYPERLINK("https://ui.adsabs.harvard.edu/abs/2020arXiv201206559B/abstract","2020arXiv201206559B")</f>
        <v>2020arXiv201206559B</v>
      </c>
      <c r="G1628" s="1" t="s">
        <v>72</v>
      </c>
      <c r="H1628" s="1">
        <v>0.9967784</v>
      </c>
      <c r="I1628" s="1" t="s">
        <v>1053</v>
      </c>
    </row>
    <row r="1629">
      <c r="A1629" s="2" t="str">
        <f>HYPERLINK("https://ui.adsabs.harvard.edu/abs/2022Quant...6..637M/abstract","2022Quant...6..637M")</f>
        <v>2022Quant...6..637M</v>
      </c>
      <c r="E1629" s="2" t="str">
        <f>HYPERLINK("https://ui.adsabs.harvard.edu/abs/2020arXiv200711624M/abstract","2020arXiv200711624M")</f>
        <v>2020arXiv200711624M</v>
      </c>
      <c r="G1629" s="1" t="s">
        <v>72</v>
      </c>
      <c r="H1629" s="1">
        <v>0.9967784</v>
      </c>
      <c r="I1629" s="1" t="s">
        <v>1053</v>
      </c>
    </row>
    <row r="1630">
      <c r="A1630" s="2" t="str">
        <f>HYPERLINK("https://ui.adsabs.harvard.edu/abs/2022Quant...6..642M/abstract","2022Quant...6..642M")</f>
        <v>2022Quant...6..642M</v>
      </c>
      <c r="E1630" s="2" t="str">
        <f>HYPERLINK("https://ui.adsabs.harvard.edu/abs/2020arXiv201007265M/abstract","2020arXiv201007265M")</f>
        <v>2020arXiv201007265M</v>
      </c>
      <c r="G1630" s="1" t="s">
        <v>72</v>
      </c>
      <c r="H1630" s="1">
        <v>0.9967784</v>
      </c>
      <c r="I1630" s="1" t="s">
        <v>1053</v>
      </c>
    </row>
    <row r="1631">
      <c r="A1631" s="2" t="str">
        <f>HYPERLINK("https://ui.adsabs.harvard.edu/abs/2022Quant...6..643J/abstract","2022Quant...6..643J")</f>
        <v>2022Quant...6..643J</v>
      </c>
      <c r="E1631" s="2" t="str">
        <f>HYPERLINK("https://ui.adsabs.harvard.edu/abs/2020arXiv200404173J/abstract","2020arXiv200404173J")</f>
        <v>2020arXiv200404173J</v>
      </c>
      <c r="G1631" s="1" t="s">
        <v>72</v>
      </c>
      <c r="H1631" s="1">
        <v>0.9967784</v>
      </c>
      <c r="I1631" s="1" t="s">
        <v>1053</v>
      </c>
    </row>
    <row r="1632">
      <c r="A1632" s="2" t="str">
        <f>HYPERLINK("https://ui.adsabs.harvard.edu/abs/2022Quant...6..647K/abstract","2022Quant...6..647K")</f>
        <v>2022Quant...6..647K</v>
      </c>
      <c r="E1632" s="2" t="str">
        <f>HYPERLINK("https://ui.adsabs.harvard.edu/abs/2020arXiv200802461K/abstract","2020arXiv200802461K")</f>
        <v>2020arXiv200802461K</v>
      </c>
      <c r="G1632" s="1" t="s">
        <v>72</v>
      </c>
      <c r="H1632" s="1">
        <v>0.9967784</v>
      </c>
      <c r="I1632" s="1" t="s">
        <v>1053</v>
      </c>
    </row>
    <row r="1633">
      <c r="A1633" s="2" t="str">
        <f>HYPERLINK("https://ui.adsabs.harvard.edu/abs/2022Quant...6..653Z/abstract","2022Quant...6..653Z")</f>
        <v>2022Quant...6..653Z</v>
      </c>
      <c r="E1633" s="2" t="str">
        <f>HYPERLINK("https://ui.adsabs.harvard.edu/abs/2020arXiv200612475Z/abstract","2020arXiv200612475Z")</f>
        <v>2020arXiv200612475Z</v>
      </c>
      <c r="G1633" s="1" t="s">
        <v>72</v>
      </c>
      <c r="H1633" s="1">
        <v>0.9967784</v>
      </c>
      <c r="I1633" s="1" t="s">
        <v>1053</v>
      </c>
    </row>
    <row r="1634">
      <c r="A1634" s="2" t="str">
        <f>HYPERLINK("https://ui.adsabs.harvard.edu/abs/2022Quant...6..657H/abstract","2022Quant...6..657H")</f>
        <v>2022Quant...6..657H</v>
      </c>
      <c r="E1634" s="2" t="str">
        <f>HYPERLINK("https://ui.adsabs.harvard.edu/abs/2020arXiv201113048H/abstract","2020arXiv201113048H")</f>
        <v>2020arXiv201113048H</v>
      </c>
      <c r="G1634" s="1" t="s">
        <v>72</v>
      </c>
      <c r="H1634" s="1">
        <v>0.9967784</v>
      </c>
      <c r="I1634" s="1" t="s">
        <v>1053</v>
      </c>
    </row>
    <row r="1635">
      <c r="A1635" s="2" t="str">
        <f>HYPERLINK("https://ui.adsabs.harvard.edu/abs/2022Quant...6..663C/abstract","2022Quant...6..663C")</f>
        <v>2022Quant...6..663C</v>
      </c>
      <c r="E1635" s="2" t="str">
        <f>HYPERLINK("https://ui.adsabs.harvard.edu/abs/2020arXiv200806205C/abstract","2020arXiv200806205C")</f>
        <v>2020arXiv200806205C</v>
      </c>
      <c r="G1635" s="1" t="s">
        <v>72</v>
      </c>
      <c r="H1635" s="1">
        <v>0.9967784</v>
      </c>
      <c r="I1635" s="1" t="s">
        <v>1053</v>
      </c>
    </row>
    <row r="1636">
      <c r="A1636" s="2" t="str">
        <f>HYPERLINK("https://ui.adsabs.harvard.edu/abs/2022Quant...6..665M/abstract","2022Quant...6..665M")</f>
        <v>2022Quant...6..665M</v>
      </c>
      <c r="E1636" s="2" t="str">
        <f>HYPERLINK("https://ui.adsabs.harvard.edu/abs/2020arXiv201015465M/abstract","2020arXiv201015465M")</f>
        <v>2020arXiv201015465M</v>
      </c>
      <c r="G1636" s="1" t="s">
        <v>72</v>
      </c>
      <c r="H1636" s="1">
        <v>0.9967784</v>
      </c>
      <c r="I1636" s="1" t="s">
        <v>1053</v>
      </c>
    </row>
    <row r="1637">
      <c r="A1637" s="2" t="str">
        <f>HYPERLINK("https://ui.adsabs.harvard.edu/abs/2022Quant...6..721S/abstract","2022Quant...6..721S")</f>
        <v>2022Quant...6..721S</v>
      </c>
      <c r="E1637" s="2" t="str">
        <f>HYPERLINK("https://ui.adsabs.harvard.edu/abs/2020arXiv201208536S/abstract","2020arXiv201208536S")</f>
        <v>2020arXiv201208536S</v>
      </c>
      <c r="G1637" s="1" t="s">
        <v>72</v>
      </c>
      <c r="H1637" s="1">
        <v>0.9967784</v>
      </c>
      <c r="I1637" s="1" t="s">
        <v>1053</v>
      </c>
    </row>
    <row r="1638">
      <c r="A1638" s="2" t="str">
        <f>HYPERLINK("https://ui.adsabs.harvard.edu/abs/2022Quant...6..724W/abstract","2022Quant...6..724W")</f>
        <v>2022Quant...6..724W</v>
      </c>
      <c r="E1638" s="2" t="str">
        <f>HYPERLINK("https://ui.adsabs.harvard.edu/abs/2020arXiv200612059W/abstract","2020arXiv200612059W")</f>
        <v>2020arXiv200612059W</v>
      </c>
      <c r="G1638" s="1" t="s">
        <v>72</v>
      </c>
      <c r="H1638" s="1">
        <v>0.9967784</v>
      </c>
      <c r="I1638" s="1" t="s">
        <v>1053</v>
      </c>
    </row>
    <row r="1639">
      <c r="A1639" s="2" t="str">
        <f>HYPERLINK("https://ui.adsabs.harvard.edu/abs/2022Quant...6..725K/abstract","2022Quant...6..725K")</f>
        <v>2022Quant...6..725K</v>
      </c>
      <c r="E1639" s="2" t="str">
        <f>HYPERLINK("https://ui.adsabs.harvard.edu/abs/2020arXiv200606671K/abstract","2020arXiv200606671K")</f>
        <v>2020arXiv200606671K</v>
      </c>
      <c r="G1639" s="1" t="s">
        <v>72</v>
      </c>
      <c r="H1639" s="1">
        <v>0.9967784</v>
      </c>
      <c r="I1639" s="1" t="s">
        <v>1053</v>
      </c>
    </row>
    <row r="1640">
      <c r="A1640" s="2" t="str">
        <f>HYPERLINK("https://ui.adsabs.harvard.edu/abs/2022Quant...6..732G/abstract","2022Quant...6..732G")</f>
        <v>2022Quant...6..732G</v>
      </c>
      <c r="E1640" s="2" t="str">
        <f>HYPERLINK("https://ui.adsabs.harvard.edu/abs/2020arXiv200306426G/abstract","2020arXiv200306426G")</f>
        <v>2020arXiv200306426G</v>
      </c>
      <c r="G1640" s="1" t="s">
        <v>72</v>
      </c>
      <c r="H1640" s="1">
        <v>0.9967784</v>
      </c>
      <c r="I1640" s="1" t="s">
        <v>1053</v>
      </c>
    </row>
    <row r="1641">
      <c r="A1641" s="2" t="str">
        <f>HYPERLINK("https://ui.adsabs.harvard.edu/abs/2022Quant...6..745G/abstract","2022Quant...6..745G")</f>
        <v>2022Quant...6..745G</v>
      </c>
      <c r="E1641" s="2" t="str">
        <f>HYPERLINK("https://ui.adsabs.harvard.edu/abs/2020arXiv201203348G/abstract","2020arXiv201203348G")</f>
        <v>2020arXiv201203348G</v>
      </c>
      <c r="G1641" s="1" t="s">
        <v>72</v>
      </c>
      <c r="H1641" s="1">
        <v>0.9967784</v>
      </c>
      <c r="I1641" s="1" t="s">
        <v>1053</v>
      </c>
    </row>
    <row r="1642">
      <c r="A1642" s="2" t="str">
        <f>HYPERLINK("https://ui.adsabs.harvard.edu/abs/2022Quant...6..748Z/abstract","2022Quant...6..748Z")</f>
        <v>2022Quant...6..748Z</v>
      </c>
      <c r="E1642" s="2" t="str">
        <f>HYPERLINK("https://ui.adsabs.harvard.edu/abs/2020arXiv200610707Z/abstract","2020arXiv200610707Z")</f>
        <v>2020arXiv200610707Z</v>
      </c>
      <c r="G1642" s="1" t="s">
        <v>72</v>
      </c>
      <c r="H1642" s="1">
        <v>0.9967784</v>
      </c>
      <c r="I1642" s="1" t="s">
        <v>1053</v>
      </c>
    </row>
    <row r="1643">
      <c r="A1643" s="2" t="str">
        <f>HYPERLINK("https://ui.adsabs.harvard.edu/abs/2022Quant...6..753S/abstract","2022Quant...6..753S")</f>
        <v>2022Quant...6..753S</v>
      </c>
      <c r="E1643" s="2" t="str">
        <f>HYPERLINK("https://ui.adsabs.harvard.edu/abs/2020arXiv201112173S/abstract","2020arXiv201112173S")</f>
        <v>2020arXiv201112173S</v>
      </c>
      <c r="G1643" s="1" t="s">
        <v>72</v>
      </c>
      <c r="H1643" s="1">
        <v>0.9967784</v>
      </c>
      <c r="I1643" s="1" t="s">
        <v>1053</v>
      </c>
    </row>
    <row r="1644">
      <c r="A1644" s="2" t="str">
        <f>HYPERLINK("https://ui.adsabs.harvard.edu/abs/2022Quant...6..760L/abstract","2022Quant...6..760L")</f>
        <v>2022Quant...6..760L</v>
      </c>
      <c r="E1644" s="2" t="str">
        <f>HYPERLINK("https://ui.adsabs.harvard.edu/abs/2020arXiv201002876L/abstract","2020arXiv201002876L")</f>
        <v>2020arXiv201002876L</v>
      </c>
      <c r="G1644" s="1" t="s">
        <v>72</v>
      </c>
      <c r="H1644" s="1">
        <v>0.9967784</v>
      </c>
      <c r="I1644" s="1" t="s">
        <v>1053</v>
      </c>
    </row>
    <row r="1645">
      <c r="A1645" s="2" t="str">
        <f>HYPERLINK("https://ui.adsabs.harvard.edu/abs/2022Quant...6..766L/abstract","2022Quant...6..766L")</f>
        <v>2022Quant...6..766L</v>
      </c>
      <c r="E1645" s="2" t="str">
        <f>HYPERLINK("https://ui.adsabs.harvard.edu/abs/2020arXiv201109746L/abstract","2020arXiv201109746L")</f>
        <v>2020arXiv201109746L</v>
      </c>
      <c r="G1645" s="1" t="s">
        <v>72</v>
      </c>
      <c r="H1645" s="1">
        <v>0.9967784</v>
      </c>
      <c r="I1645" s="1" t="s">
        <v>1053</v>
      </c>
    </row>
    <row r="1646">
      <c r="A1646" s="2" t="str">
        <f>HYPERLINK("https://ui.adsabs.harvard.edu/abs/2022Quant...6..771T/abstract","2022Quant...6..771T")</f>
        <v>2022Quant...6..771T</v>
      </c>
      <c r="E1646" s="2" t="str">
        <f>HYPERLINK("https://ui.adsabs.harvard.edu/abs/2020arXiv200407809T/abstract","2020arXiv200407809T")</f>
        <v>2020arXiv200407809T</v>
      </c>
      <c r="G1646" s="1" t="s">
        <v>72</v>
      </c>
      <c r="H1646" s="1">
        <v>0.9967784</v>
      </c>
      <c r="I1646" s="1" t="s">
        <v>1053</v>
      </c>
    </row>
    <row r="1647">
      <c r="A1647" s="2" t="str">
        <f>HYPERLINK("https://ui.adsabs.harvard.edu/abs/2022Quant...6..773B/abstract","2022Quant...6..773B")</f>
        <v>2022Quant...6..773B</v>
      </c>
      <c r="E1647" s="2" t="str">
        <f>HYPERLINK("https://ui.adsabs.harvard.edu/abs/2020arXiv200910709B/abstract","2020arXiv200910709B")</f>
        <v>2020arXiv200910709B</v>
      </c>
      <c r="G1647" s="1" t="s">
        <v>72</v>
      </c>
      <c r="H1647" s="1">
        <v>0.9967784</v>
      </c>
      <c r="I1647" s="1" t="s">
        <v>1053</v>
      </c>
    </row>
    <row r="1648">
      <c r="A1648" s="2" t="str">
        <f>HYPERLINK("https://ui.adsabs.harvard.edu/abs/2022Quant...6..774L/abstract","2022Quant...6..774L")</f>
        <v>2022Quant...6..774L</v>
      </c>
      <c r="E1648" s="2" t="str">
        <f>HYPERLINK("https://ui.adsabs.harvard.edu/abs/2020arXiv200904417L/abstract","2020arXiv200904417L")</f>
        <v>2020arXiv200904417L</v>
      </c>
      <c r="G1648" s="1" t="s">
        <v>72</v>
      </c>
      <c r="H1648" s="1">
        <v>0.9967784</v>
      </c>
      <c r="I1648" s="1" t="s">
        <v>1053</v>
      </c>
    </row>
    <row r="1649">
      <c r="A1649" s="2" t="str">
        <f>HYPERLINK("https://ui.adsabs.harvard.edu/abs/2022Quant...6..783G/abstract","2022Quant...6..783G")</f>
        <v>2022Quant...6..783G</v>
      </c>
      <c r="E1649" s="2" t="str">
        <f>HYPERLINK("https://ui.adsabs.harvard.edu/abs/2020arXiv200903021G/abstract","2020arXiv200903021G")</f>
        <v>2020arXiv200903021G</v>
      </c>
      <c r="G1649" s="1" t="s">
        <v>72</v>
      </c>
      <c r="H1649" s="1">
        <v>0.9967784</v>
      </c>
      <c r="I1649" s="1" t="s">
        <v>1053</v>
      </c>
    </row>
    <row r="1650">
      <c r="A1650" s="2" t="str">
        <f>HYPERLINK("https://ui.adsabs.harvard.edu/abs/2022Quant...6..804F/abstract","2022Quant...6..804F")</f>
        <v>2022Quant...6..804F</v>
      </c>
      <c r="E1650" s="2" t="str">
        <f>HYPERLINK("https://ui.adsabs.harvard.edu/abs/2020arXiv201108763F/abstract","2020arXiv201108763F")</f>
        <v>2020arXiv201108763F</v>
      </c>
      <c r="G1650" s="1" t="s">
        <v>72</v>
      </c>
      <c r="H1650" s="1">
        <v>0.9967784</v>
      </c>
      <c r="I1650" s="1" t="s">
        <v>1053</v>
      </c>
    </row>
    <row r="1651">
      <c r="A1651" s="2" t="str">
        <f>HYPERLINK("https://ui.adsabs.harvard.edu/abs/2022Quant...6..835C/abstract","2022Quant...6..835C")</f>
        <v>2022Quant...6..835C</v>
      </c>
      <c r="E1651" s="2" t="str">
        <f>HYPERLINK("https://ui.adsabs.harvard.edu/abs/2020arXiv200911312C/abstract","2020arXiv200911312C")</f>
        <v>2020arXiv200911312C</v>
      </c>
      <c r="G1651" s="1" t="s">
        <v>72</v>
      </c>
      <c r="H1651" s="1">
        <v>0.9967784</v>
      </c>
      <c r="I1651" s="1" t="s">
        <v>1053</v>
      </c>
    </row>
    <row r="1652">
      <c r="A1652" s="2" t="str">
        <f>HYPERLINK("https://ui.adsabs.harvard.edu/abs/2022Quant...6..855G/abstract","2022Quant...6..855G")</f>
        <v>2022Quant...6..855G</v>
      </c>
      <c r="E1652" s="2" t="str">
        <f>HYPERLINK("https://ui.adsabs.harvard.edu/abs/2020arXiv200502607G/abstract","2020arXiv200502607G")</f>
        <v>2020arXiv200502607G</v>
      </c>
      <c r="G1652" s="1" t="s">
        <v>72</v>
      </c>
      <c r="H1652" s="1">
        <v>0.9967784</v>
      </c>
      <c r="I1652" s="1" t="s">
        <v>1053</v>
      </c>
    </row>
    <row r="1653">
      <c r="A1653" s="2" t="str">
        <f>HYPERLINK("https://ui.adsabs.harvard.edu/abs/2022Quant...6..862H/abstract","2022Quant...6..862H")</f>
        <v>2022Quant...6..862H</v>
      </c>
      <c r="E1653" s="2" t="str">
        <f>HYPERLINK("https://ui.adsabs.harvard.edu/abs/2020arXiv201105949H/abstract","2020arXiv201105949H")</f>
        <v>2020arXiv201105949H</v>
      </c>
      <c r="G1653" s="1" t="s">
        <v>72</v>
      </c>
      <c r="H1653" s="1">
        <v>0.9967784</v>
      </c>
      <c r="I1653" s="1" t="s">
        <v>1053</v>
      </c>
    </row>
    <row r="1654">
      <c r="A1654" s="2" t="str">
        <f>HYPERLINK("https://ui.adsabs.harvard.edu/abs/2022Quant...6..866M/abstract","2022Quant...6..866M")</f>
        <v>2022Quant...6..866M</v>
      </c>
      <c r="E1654" s="2" t="str">
        <f>HYPERLINK("https://ui.adsabs.harvard.edu/abs/2020arXiv201204211M/abstract","2020arXiv201204211M")</f>
        <v>2020arXiv201204211M</v>
      </c>
      <c r="G1654" s="1" t="s">
        <v>72</v>
      </c>
      <c r="H1654" s="1">
        <v>0.9967784</v>
      </c>
      <c r="I1654" s="1" t="s">
        <v>1053</v>
      </c>
    </row>
    <row r="1655">
      <c r="A1655" s="2" t="str">
        <f>HYPERLINK("https://ui.adsabs.harvard.edu/abs/2022Quant...6..880T/abstract","2022Quant...6..880T")</f>
        <v>2022Quant...6..880T</v>
      </c>
      <c r="E1655" s="2" t="str">
        <f>HYPERLINK("https://ui.adsabs.harvard.edu/abs/2020arXiv201208714T/abstract","2020arXiv201208714T")</f>
        <v>2020arXiv201208714T</v>
      </c>
      <c r="G1655" s="1" t="s">
        <v>72</v>
      </c>
      <c r="H1655" s="1">
        <v>0.9967784</v>
      </c>
      <c r="I1655" s="1" t="s">
        <v>1053</v>
      </c>
    </row>
    <row r="1656">
      <c r="A1656" s="2" t="str">
        <f>HYPERLINK("https://ui.adsabs.harvard.edu/abs/2023Quant...7..894O/abstract","2023Quant...7..894O")</f>
        <v>2023Quant...7..894O</v>
      </c>
      <c r="E1656" s="2" t="str">
        <f>HYPERLINK("https://ui.adsabs.harvard.edu/abs/2021arXiv210906709O/abstract","2021arXiv210906709O")</f>
        <v>2021arXiv210906709O</v>
      </c>
      <c r="G1656" s="1" t="s">
        <v>72</v>
      </c>
      <c r="H1656" s="1">
        <v>0.9967784</v>
      </c>
      <c r="I1656" s="1" t="s">
        <v>1053</v>
      </c>
    </row>
    <row r="1657">
      <c r="A1657" s="2" t="str">
        <f>HYPERLINK("https://ui.adsabs.harvard.edu/abs/2023Quant...7..895G/abstract","2023Quant...7..895G")</f>
        <v>2023Quant...7..895G</v>
      </c>
      <c r="E1657" s="2" t="str">
        <f>HYPERLINK("https://ui.adsabs.harvard.edu/abs/2021arXiv210301204G/abstract","2021arXiv210301204G")</f>
        <v>2021arXiv210301204G</v>
      </c>
      <c r="G1657" s="1" t="s">
        <v>72</v>
      </c>
      <c r="H1657" s="1">
        <v>0.9967784</v>
      </c>
      <c r="I1657" s="1" t="s">
        <v>1053</v>
      </c>
    </row>
    <row r="1658">
      <c r="A1658" s="2" t="str">
        <f>HYPERLINK("https://ui.adsabs.harvard.edu/abs/2023Quant...7..896W/abstract","2023Quant...7..896W")</f>
        <v>2023Quant...7..896W</v>
      </c>
      <c r="E1658" s="2" t="str">
        <f>HYPERLINK("https://ui.adsabs.harvard.edu/abs/2021arXiv210513091W/abstract","2021arXiv210513091W")</f>
        <v>2021arXiv210513091W</v>
      </c>
      <c r="G1658" s="1" t="s">
        <v>72</v>
      </c>
      <c r="H1658" s="1">
        <v>0.9967784</v>
      </c>
      <c r="I1658" s="1" t="s">
        <v>1053</v>
      </c>
    </row>
    <row r="1659">
      <c r="A1659" s="2" t="str">
        <f>HYPERLINK("https://ui.adsabs.harvard.edu/abs/2022AIHPC..39.1261C/abstract","2022AIHPC..39.1261C")</f>
        <v>2022AIHPC..39.1261C</v>
      </c>
      <c r="C1659" s="1" t="s">
        <v>12</v>
      </c>
      <c r="E1659" s="2" t="str">
        <f>HYPERLINK("https://ui.adsabs.harvard.edu/abs/2020arXiv201205878C/abstract","2020arXiv201205878C")</f>
        <v>2020arXiv201205878C</v>
      </c>
      <c r="F1659" s="1" t="s">
        <v>1054</v>
      </c>
      <c r="G1659" s="1" t="s">
        <v>72</v>
      </c>
      <c r="H1659" s="1">
        <v>0.9968289</v>
      </c>
      <c r="I1659" s="1" t="s">
        <v>1055</v>
      </c>
    </row>
    <row r="1660">
      <c r="A1660" s="2" t="str">
        <f>HYPERLINK("https://ui.adsabs.harvard.edu/abs/2023ITIP...32..807J/abstract","2023ITIP...32..807J")</f>
        <v>2023ITIP...32..807J</v>
      </c>
      <c r="C1660" s="1" t="s">
        <v>12</v>
      </c>
      <c r="E1660" s="2" t="str">
        <f>HYPERLINK("https://ui.adsabs.harvard.edu/abs/2021arXiv211112379J/abstract","2021arXiv211112379J")</f>
        <v>2021arXiv211112379J</v>
      </c>
      <c r="F1660" s="1" t="s">
        <v>1056</v>
      </c>
      <c r="G1660" s="1" t="s">
        <v>72</v>
      </c>
      <c r="H1660" s="1">
        <v>0.9968289</v>
      </c>
      <c r="I1660" s="1" t="s">
        <v>1055</v>
      </c>
    </row>
    <row r="1661">
      <c r="A1661" s="2" t="str">
        <f>HYPERLINK("https://ui.adsabs.harvard.edu/abs/2023ITIP...32..791H/abstract","2023ITIP...32..791H")</f>
        <v>2023ITIP...32..791H</v>
      </c>
      <c r="C1661" s="1" t="s">
        <v>12</v>
      </c>
      <c r="E1661" s="2" t="str">
        <f>HYPERLINK("https://ui.adsabs.harvard.edu/abs/2021arXiv211204493H/abstract","2021arXiv211204493H")</f>
        <v>2021arXiv211204493H</v>
      </c>
      <c r="F1661" s="1" t="s">
        <v>1057</v>
      </c>
      <c r="G1661" s="1" t="s">
        <v>72</v>
      </c>
      <c r="H1661" s="1">
        <v>0.9968289</v>
      </c>
      <c r="I1661" s="1" t="s">
        <v>1055</v>
      </c>
    </row>
    <row r="1662">
      <c r="A1662" s="2" t="str">
        <f>HYPERLINK("https://ui.adsabs.harvard.edu/abs/2023ITIP...32..822A/abstract","2023ITIP...32..822A")</f>
        <v>2023ITIP...32..822A</v>
      </c>
      <c r="C1662" s="1" t="s">
        <v>12</v>
      </c>
      <c r="E1662" s="2" t="str">
        <f>HYPERLINK("https://ui.adsabs.harvard.edu/abs/2021arXiv211014899A/abstract","2021arXiv211014899A")</f>
        <v>2021arXiv211014899A</v>
      </c>
      <c r="F1662" s="1" t="s">
        <v>1058</v>
      </c>
      <c r="G1662" s="1" t="s">
        <v>72</v>
      </c>
      <c r="H1662" s="1">
        <v>0.9968289</v>
      </c>
      <c r="I1662" s="1" t="s">
        <v>1055</v>
      </c>
    </row>
    <row r="1663">
      <c r="A1663" s="2" t="str">
        <f>HYPERLINK("https://ui.adsabs.harvard.edu/abs/2023MMAS...46.3405K/abstract","2023MMAS...46.3405K")</f>
        <v>2023MMAS...46.3405K</v>
      </c>
      <c r="C1663" s="1" t="s">
        <v>12</v>
      </c>
      <c r="E1663" s="2" t="str">
        <f>HYPERLINK("https://ui.adsabs.harvard.edu/abs/2021arXiv210710547K/abstract","2021arXiv210710547K")</f>
        <v>2021arXiv210710547K</v>
      </c>
      <c r="F1663" s="1" t="s">
        <v>1059</v>
      </c>
      <c r="G1663" s="1" t="s">
        <v>72</v>
      </c>
      <c r="H1663" s="1">
        <v>0.9968289</v>
      </c>
      <c r="I1663" s="1" t="s">
        <v>1055</v>
      </c>
    </row>
    <row r="1664">
      <c r="A1664" s="2" t="str">
        <f>HYPERLINK("https://ui.adsabs.harvard.edu/abs/2022AIHPC..39.1319D/abstract","2022AIHPC..39.1319D")</f>
        <v>2022AIHPC..39.1319D</v>
      </c>
      <c r="B1664" s="2" t="str">
        <f>HYPERLINK("https://ui.adsabs.harvard.edu/abs/2021arXiv210310718D/abstract","2021arXiv210310718D")</f>
        <v>2021arXiv210310718D</v>
      </c>
      <c r="C1664" s="1" t="s">
        <v>70</v>
      </c>
      <c r="E1664" s="2" t="str">
        <f>HYPERLINK("https://ui.adsabs.harvard.edu/abs/2021arXiv210310718D/abstract","2021arXiv210310718D")</f>
        <v>2021arXiv210310718D</v>
      </c>
      <c r="F1664" s="1" t="s">
        <v>1060</v>
      </c>
      <c r="G1664" s="1" t="s">
        <v>72</v>
      </c>
      <c r="H1664" s="1">
        <v>0.9969241</v>
      </c>
      <c r="I1664" s="1" t="s">
        <v>1061</v>
      </c>
    </row>
    <row r="1665">
      <c r="A1665" s="2" t="str">
        <f>HYPERLINK("https://ui.adsabs.harvard.edu/abs/2019Quant...3..189G/abstract","2019Quant...3..189G")</f>
        <v>2019Quant...3..189G</v>
      </c>
      <c r="E1665" s="2" t="str">
        <f>HYPERLINK("https://ui.adsabs.harvard.edu/abs/2016arXiv160605626G/abstract","2016arXiv160605626G")</f>
        <v>2016arXiv160605626G</v>
      </c>
      <c r="G1665" s="1" t="s">
        <v>72</v>
      </c>
      <c r="H1665" s="1">
        <v>0.9971974</v>
      </c>
      <c r="I1665" s="1" t="s">
        <v>1062</v>
      </c>
    </row>
    <row r="1666">
      <c r="A1666" s="2" t="str">
        <f>HYPERLINK("https://ui.adsabs.harvard.edu/abs/2023PhRvL.130c6902C/abstract","2023PhRvL.130c6902C")</f>
        <v>2023PhRvL.130c6902C</v>
      </c>
      <c r="E1666" s="2" t="str">
        <f>HYPERLINK("https://ui.adsabs.harvard.edu/abs/2020arXiv201111019C/abstract","2020arXiv201111019C")</f>
        <v>2020arXiv201111019C</v>
      </c>
      <c r="G1666" s="1" t="s">
        <v>72</v>
      </c>
      <c r="H1666" s="1">
        <v>0.9971993</v>
      </c>
      <c r="I1666" s="1" t="s">
        <v>1063</v>
      </c>
    </row>
    <row r="1667">
      <c r="A1667" s="2" t="str">
        <f>HYPERLINK("https://ui.adsabs.harvard.edu/abs/2021Quant...5..543B/abstract","2021Quant...5..543B")</f>
        <v>2021Quant...5..543B</v>
      </c>
      <c r="E1667" s="2" t="str">
        <f>HYPERLINK("https://ui.adsabs.harvard.edu/abs/2018arXiv180902254B/abstract","2018arXiv180902254B")</f>
        <v>2018arXiv180902254B</v>
      </c>
      <c r="G1667" s="1" t="s">
        <v>72</v>
      </c>
      <c r="H1667" s="1">
        <v>0.997232</v>
      </c>
      <c r="I1667" s="1" t="s">
        <v>1064</v>
      </c>
    </row>
    <row r="1668">
      <c r="A1668" s="2" t="str">
        <f>HYPERLINK("https://ui.adsabs.harvard.edu/abs/2020Quant...4..230V/abstract","2020Quant...4..230V")</f>
        <v>2020Quant...4..230V</v>
      </c>
      <c r="E1668" s="2" t="str">
        <f>HYPERLINK("https://ui.adsabs.harvard.edu/abs/2017arXiv170501843V/abstract","2017arXiv170501843V")</f>
        <v>2017arXiv170501843V</v>
      </c>
      <c r="G1668" s="1" t="s">
        <v>72</v>
      </c>
      <c r="H1668" s="1">
        <v>0.9972661</v>
      </c>
      <c r="I1668" s="1" t="s">
        <v>1065</v>
      </c>
    </row>
    <row r="1669">
      <c r="A1669" s="2" t="str">
        <f>HYPERLINK("https://ui.adsabs.harvard.edu/abs/2021Quant...5..581M/abstract","2021Quant...5..581M")</f>
        <v>2021Quant...5..581M</v>
      </c>
      <c r="E1669" s="2" t="str">
        <f>HYPERLINK("https://ui.adsabs.harvard.edu/abs/2018arXiv180405951M/abstract","2018arXiv180405951M")</f>
        <v>2018arXiv180405951M</v>
      </c>
      <c r="G1669" s="1" t="s">
        <v>72</v>
      </c>
      <c r="H1669" s="1">
        <v>0.9972661</v>
      </c>
      <c r="I1669" s="1" t="s">
        <v>1065</v>
      </c>
    </row>
    <row r="1670">
      <c r="A1670" s="2" t="str">
        <f>HYPERLINK("https://ui.adsabs.harvard.edu/abs/2020Quant...4..223P/abstract","2020Quant...4..223P")</f>
        <v>2020Quant...4..223P</v>
      </c>
      <c r="E1670" s="2" t="str">
        <f>HYPERLINK("https://ui.adsabs.harvard.edu/abs/2017arXiv171202806P/abstract","2017arXiv171202806P")</f>
        <v>2017arXiv171202806P</v>
      </c>
      <c r="G1670" s="1" t="s">
        <v>72</v>
      </c>
      <c r="H1670" s="1">
        <v>0.9972998</v>
      </c>
      <c r="I1670" s="1" t="s">
        <v>1066</v>
      </c>
    </row>
    <row r="1671">
      <c r="A1671" s="2" t="str">
        <f>HYPERLINK("https://ui.adsabs.harvard.edu/abs/2018Quant...2...67B/abstract","2018Quant...2...67B")</f>
        <v>2018Quant...2...67B</v>
      </c>
      <c r="E1671" s="2" t="str">
        <f>HYPERLINK("https://ui.adsabs.harvard.edu/abs/2015arXiv150903249B/abstract","2015arXiv150903249B")</f>
        <v>2015arXiv150903249B</v>
      </c>
      <c r="G1671" s="1" t="s">
        <v>72</v>
      </c>
      <c r="H1671" s="1">
        <v>0.9973332</v>
      </c>
      <c r="I1671" s="1" t="s">
        <v>1067</v>
      </c>
    </row>
    <row r="1672">
      <c r="A1672" s="2" t="str">
        <f>HYPERLINK("https://ui.adsabs.harvard.edu/abs/2018Quant...2...70K/abstract","2018Quant...2...70K")</f>
        <v>2018Quant...2...70K</v>
      </c>
      <c r="E1672" s="2" t="str">
        <f>HYPERLINK("https://ui.adsabs.harvard.edu/abs/2015arXiv151107369K/abstract","2015arXiv151107369K")</f>
        <v>2015arXiv151107369K</v>
      </c>
      <c r="G1672" s="1" t="s">
        <v>72</v>
      </c>
      <c r="H1672" s="1">
        <v>0.9973332</v>
      </c>
      <c r="I1672" s="1" t="s">
        <v>1067</v>
      </c>
    </row>
    <row r="1673">
      <c r="A1673" s="2" t="str">
        <f>HYPERLINK("https://ui.adsabs.harvard.edu/abs/2018Quant...2...96V/abstract","2018Quant...2...96V")</f>
        <v>2018Quant...2...96V</v>
      </c>
      <c r="E1673" s="2" t="str">
        <f>HYPERLINK("https://ui.adsabs.harvard.edu/abs/2015arXiv150804181V/abstract","2015arXiv150804181V")</f>
        <v>2015arXiv150804181V</v>
      </c>
      <c r="G1673" s="1" t="s">
        <v>72</v>
      </c>
      <c r="H1673" s="1">
        <v>0.9973332</v>
      </c>
      <c r="I1673" s="1" t="s">
        <v>1067</v>
      </c>
    </row>
    <row r="1674">
      <c r="A1674" s="2" t="str">
        <f>HYPERLINK("https://ui.adsabs.harvard.edu/abs/2018Quant...2..105O/abstract","2018Quant...2..105O")</f>
        <v>2018Quant...2..105O</v>
      </c>
      <c r="E1674" s="2" t="str">
        <f>HYPERLINK("https://ui.adsabs.harvard.edu/abs/2015arXiv150301334O/abstract","2015arXiv150301334O")</f>
        <v>2015arXiv150301334O</v>
      </c>
      <c r="G1674" s="1" t="s">
        <v>72</v>
      </c>
      <c r="H1674" s="1">
        <v>0.9973332</v>
      </c>
      <c r="I1674" s="1" t="s">
        <v>1067</v>
      </c>
    </row>
    <row r="1675">
      <c r="A1675" s="2" t="str">
        <f>HYPERLINK("https://ui.adsabs.harvard.edu/abs/2019Quant...3..147Y/abstract","2019Quant...3..147Y")</f>
        <v>2019Quant...3..147Y</v>
      </c>
      <c r="E1675" s="2" t="str">
        <f>HYPERLINK("https://ui.adsabs.harvard.edu/abs/2016arXiv160903299Y/abstract","2016arXiv160903299Y")</f>
        <v>2016arXiv160903299Y</v>
      </c>
      <c r="G1675" s="1" t="s">
        <v>72</v>
      </c>
      <c r="H1675" s="1">
        <v>0.9973332</v>
      </c>
      <c r="I1675" s="1" t="s">
        <v>1067</v>
      </c>
    </row>
    <row r="1676">
      <c r="A1676" s="2" t="str">
        <f>HYPERLINK("https://ui.adsabs.harvard.edu/abs/2019Quant...3..154M/abstract","2019Quant...3..154M")</f>
        <v>2019Quant...3..154M</v>
      </c>
      <c r="E1676" s="2" t="str">
        <f>HYPERLINK("https://ui.adsabs.harvard.edu/abs/2016arXiv161206546M/abstract","2016arXiv161206546M")</f>
        <v>2016arXiv161206546M</v>
      </c>
      <c r="G1676" s="1" t="s">
        <v>72</v>
      </c>
      <c r="H1676" s="1">
        <v>0.9973332</v>
      </c>
      <c r="I1676" s="1" t="s">
        <v>1067</v>
      </c>
    </row>
    <row r="1677">
      <c r="A1677" s="2" t="str">
        <f>HYPERLINK("https://ui.adsabs.harvard.edu/abs/2020Quant...4..218D/abstract","2020Quant...4..218D")</f>
        <v>2020Quant...4..218D</v>
      </c>
      <c r="E1677" s="2" t="str">
        <f>HYPERLINK("https://ui.adsabs.harvard.edu/abs/2017arXiv170408670D/abstract","2017arXiv170408670D")</f>
        <v>2017arXiv170408670D</v>
      </c>
      <c r="G1677" s="1" t="s">
        <v>72</v>
      </c>
      <c r="H1677" s="1">
        <v>0.9973332</v>
      </c>
      <c r="I1677" s="1" t="s">
        <v>1067</v>
      </c>
    </row>
    <row r="1678">
      <c r="A1678" s="2" t="str">
        <f>HYPERLINK("https://ui.adsabs.harvard.edu/abs/2020Quant...4..255M/abstract","2020Quant...4..255M")</f>
        <v>2020Quant...4..255M</v>
      </c>
      <c r="E1678" s="2" t="str">
        <f>HYPERLINK("https://ui.adsabs.harvard.edu/abs/2017arXiv171202589M/abstract","2017arXiv171202589M")</f>
        <v>2017arXiv171202589M</v>
      </c>
      <c r="G1678" s="1" t="s">
        <v>72</v>
      </c>
      <c r="H1678" s="1">
        <v>0.9973332</v>
      </c>
      <c r="I1678" s="1" t="s">
        <v>1067</v>
      </c>
    </row>
    <row r="1679">
      <c r="A1679" s="2" t="str">
        <f>HYPERLINK("https://ui.adsabs.harvard.edu/abs/2021Quant...5..395C/abstract","2021Quant...5..395C")</f>
        <v>2021Quant...5..395C</v>
      </c>
      <c r="E1679" s="2" t="str">
        <f>HYPERLINK("https://ui.adsabs.harvard.edu/abs/2018arXiv181202144C/abstract","2018arXiv181202144C")</f>
        <v>2018arXiv181202144C</v>
      </c>
      <c r="G1679" s="1" t="s">
        <v>72</v>
      </c>
      <c r="H1679" s="1">
        <v>0.9973332</v>
      </c>
      <c r="I1679" s="1" t="s">
        <v>1067</v>
      </c>
    </row>
    <row r="1680">
      <c r="A1680" s="2" t="str">
        <f>HYPERLINK("https://ui.adsabs.harvard.edu/abs/2021Quant...5..401B/abstract","2021Quant...5..401B")</f>
        <v>2021Quant...5..401B</v>
      </c>
      <c r="E1680" s="2" t="str">
        <f>HYPERLINK("https://ui.adsabs.harvard.edu/abs/2018arXiv181209117B/abstract","2018arXiv181209117B")</f>
        <v>2018arXiv181209117B</v>
      </c>
      <c r="G1680" s="1" t="s">
        <v>72</v>
      </c>
      <c r="H1680" s="1">
        <v>0.9973332</v>
      </c>
      <c r="I1680" s="1" t="s">
        <v>1067</v>
      </c>
    </row>
    <row r="1681">
      <c r="A1681" s="2" t="str">
        <f>HYPERLINK("https://ui.adsabs.harvard.edu/abs/2021Quant...5..403C/abstract","2021Quant...5..403C")</f>
        <v>2021Quant...5..403C</v>
      </c>
      <c r="E1681" s="2" t="str">
        <f>HYPERLINK("https://ui.adsabs.harvard.edu/abs/2018arXiv181209428C/abstract","2018arXiv181209428C")</f>
        <v>2018arXiv181209428C</v>
      </c>
      <c r="G1681" s="1" t="s">
        <v>72</v>
      </c>
      <c r="H1681" s="1">
        <v>0.9973332</v>
      </c>
      <c r="I1681" s="1" t="s">
        <v>1067</v>
      </c>
    </row>
    <row r="1682">
      <c r="A1682" s="2" t="str">
        <f>HYPERLINK("https://ui.adsabs.harvard.edu/abs/2021Quant...5..425P/abstract","2021Quant...5..425P")</f>
        <v>2021Quant...5..425P</v>
      </c>
      <c r="E1682" s="2" t="str">
        <f>HYPERLINK("https://ui.adsabs.harvard.edu/abs/2018arXiv181005122P/abstract","2018arXiv181005122P")</f>
        <v>2018arXiv181005122P</v>
      </c>
      <c r="G1682" s="1" t="s">
        <v>72</v>
      </c>
      <c r="H1682" s="1">
        <v>0.9973332</v>
      </c>
      <c r="I1682" s="1" t="s">
        <v>1067</v>
      </c>
    </row>
    <row r="1683">
      <c r="A1683" s="2" t="str">
        <f>HYPERLINK("https://ui.adsabs.harvard.edu/abs/2021Quant...5..429B/abstract","2021Quant...5..429B")</f>
        <v>2021Quant...5..429B</v>
      </c>
      <c r="E1683" s="2" t="str">
        <f>HYPERLINK("https://ui.adsabs.harvard.edu/abs/2018arXiv181005226B/abstract","2018arXiv181005226B")</f>
        <v>2018arXiv181005226B</v>
      </c>
      <c r="G1683" s="1" t="s">
        <v>72</v>
      </c>
      <c r="H1683" s="1">
        <v>0.9973332</v>
      </c>
      <c r="I1683" s="1" t="s">
        <v>1067</v>
      </c>
    </row>
    <row r="1684">
      <c r="A1684" s="2" t="str">
        <f>HYPERLINK("https://ui.adsabs.harvard.edu/abs/2021Quant...5..440G/abstract","2021Quant...5..440G")</f>
        <v>2021Quant...5..440G</v>
      </c>
      <c r="E1684" s="2" t="str">
        <f>HYPERLINK("https://ui.adsabs.harvard.edu/abs/2018arXiv181103722G/abstract","2018arXiv181103722G")</f>
        <v>2018arXiv181103722G</v>
      </c>
      <c r="G1684" s="1" t="s">
        <v>72</v>
      </c>
      <c r="H1684" s="1">
        <v>0.9973332</v>
      </c>
      <c r="I1684" s="1" t="s">
        <v>1067</v>
      </c>
    </row>
    <row r="1685">
      <c r="A1685" s="2" t="str">
        <f>HYPERLINK("https://ui.adsabs.harvard.edu/abs/2021Quant...5..445S/abstract","2021Quant...5..445S")</f>
        <v>2021Quant...5..445S</v>
      </c>
      <c r="E1685" s="2" t="str">
        <f>HYPERLINK("https://ui.adsabs.harvard.edu/abs/2018arXiv180200367S/abstract","2018arXiv180200367S")</f>
        <v>2018arXiv180200367S</v>
      </c>
      <c r="G1685" s="1" t="s">
        <v>72</v>
      </c>
      <c r="H1685" s="1">
        <v>0.9973332</v>
      </c>
      <c r="I1685" s="1" t="s">
        <v>1067</v>
      </c>
    </row>
    <row r="1686">
      <c r="A1686" s="2" t="str">
        <f>HYPERLINK("https://ui.adsabs.harvard.edu/abs/2021Quant...5..448C/abstract","2021Quant...5..448C")</f>
        <v>2021Quant...5..448C</v>
      </c>
      <c r="E1686" s="2" t="str">
        <f>HYPERLINK("https://ui.adsabs.harvard.edu/abs/2018arXiv181013295C/abstract","2018arXiv181013295C")</f>
        <v>2018arXiv181013295C</v>
      </c>
      <c r="G1686" s="1" t="s">
        <v>72</v>
      </c>
      <c r="H1686" s="1">
        <v>0.9973332</v>
      </c>
      <c r="I1686" s="1" t="s">
        <v>1067</v>
      </c>
    </row>
    <row r="1687">
      <c r="A1687" s="2" t="str">
        <f>HYPERLINK("https://ui.adsabs.harvard.edu/abs/2021Quant...5..494K/abstract","2021Quant...5..494K")</f>
        <v>2021Quant...5..494K</v>
      </c>
      <c r="E1687" s="2" t="str">
        <f>HYPERLINK("https://ui.adsabs.harvard.edu/abs/2018arXiv181003622K/abstract","2018arXiv181003622K")</f>
        <v>2018arXiv181003622K</v>
      </c>
      <c r="G1687" s="1" t="s">
        <v>72</v>
      </c>
      <c r="H1687" s="1">
        <v>0.9973332</v>
      </c>
      <c r="I1687" s="1" t="s">
        <v>1067</v>
      </c>
    </row>
    <row r="1688">
      <c r="A1688" s="2" t="str">
        <f>HYPERLINK("https://ui.adsabs.harvard.edu/abs/2021Quant...5..546A/abstract","2021Quant...5..546A")</f>
        <v>2021Quant...5..546A</v>
      </c>
      <c r="E1688" s="2" t="str">
        <f>HYPERLINK("https://ui.adsabs.harvard.edu/abs/2018arXiv180609626A/abstract","2018arXiv180609626A")</f>
        <v>2018arXiv180609626A</v>
      </c>
      <c r="G1688" s="1" t="s">
        <v>72</v>
      </c>
      <c r="H1688" s="1">
        <v>0.9973332</v>
      </c>
      <c r="I1688" s="1" t="s">
        <v>1067</v>
      </c>
    </row>
    <row r="1689">
      <c r="A1689" s="2" t="str">
        <f>HYPERLINK("https://ui.adsabs.harvard.edu/abs/2021Quant...5..587A/abstract","2021Quant...5..587A")</f>
        <v>2021Quant...5..587A</v>
      </c>
      <c r="E1689" s="2" t="str">
        <f>HYPERLINK("https://ui.adsabs.harvard.edu/abs/2018arXiv181000481A/abstract","2018arXiv181000481A")</f>
        <v>2018arXiv181000481A</v>
      </c>
      <c r="G1689" s="1" t="s">
        <v>72</v>
      </c>
      <c r="H1689" s="1">
        <v>0.9973332</v>
      </c>
      <c r="I1689" s="1" t="s">
        <v>1067</v>
      </c>
    </row>
    <row r="1690">
      <c r="A1690" s="2" t="str">
        <f>HYPERLINK("https://ui.adsabs.harvard.edu/abs/2021Quant...5..603A/abstract","2021Quant...5..603A")</f>
        <v>2021Quant...5..603A</v>
      </c>
      <c r="E1690" s="2" t="str">
        <f>HYPERLINK("https://ui.adsabs.harvard.edu/abs/2018arXiv181111858A/abstract","2018arXiv181111858A")</f>
        <v>2018arXiv181111858A</v>
      </c>
      <c r="G1690" s="1" t="s">
        <v>72</v>
      </c>
      <c r="H1690" s="1">
        <v>0.9973332</v>
      </c>
      <c r="I1690" s="1" t="s">
        <v>1067</v>
      </c>
    </row>
    <row r="1691">
      <c r="A1691" s="2" t="str">
        <f>HYPERLINK("https://ui.adsabs.harvard.edu/abs/2022Quant...6..661L/abstract","2022Quant...6..661L")</f>
        <v>2022Quant...6..661L</v>
      </c>
      <c r="E1691" s="2" t="str">
        <f>HYPERLINK("https://ui.adsabs.harvard.edu/abs/2019arXiv191103069L/abstract","2019arXiv191103069L")</f>
        <v>2019arXiv191103069L</v>
      </c>
      <c r="G1691" s="1" t="s">
        <v>72</v>
      </c>
      <c r="H1691" s="1">
        <v>0.9973332</v>
      </c>
      <c r="I1691" s="1" t="s">
        <v>1067</v>
      </c>
    </row>
    <row r="1692">
      <c r="A1692" s="2" t="str">
        <f>HYPERLINK("https://ui.adsabs.harvard.edu/abs/2022Quant...6..759F/abstract","2022Quant...6..759F")</f>
        <v>2022Quant...6..759F</v>
      </c>
      <c r="E1692" s="2" t="str">
        <f>HYPERLINK("https://ui.adsabs.harvard.edu/abs/2019arXiv191008187F/abstract","2019arXiv191008187F")</f>
        <v>2019arXiv191008187F</v>
      </c>
      <c r="G1692" s="1" t="s">
        <v>72</v>
      </c>
      <c r="H1692" s="1">
        <v>0.9973332</v>
      </c>
      <c r="I1692" s="1" t="s">
        <v>1067</v>
      </c>
    </row>
    <row r="1693">
      <c r="A1693" s="2" t="str">
        <f>HYPERLINK("https://ui.adsabs.harvard.edu/abs/2022Quant...6..819M/abstract","2022Quant...6..819M")</f>
        <v>2022Quant...6..819M</v>
      </c>
      <c r="E1693" s="2" t="str">
        <f>HYPERLINK("https://ui.adsabs.harvard.edu/abs/2019arXiv190801780M/abstract","2019arXiv190801780M")</f>
        <v>2019arXiv190801780M</v>
      </c>
      <c r="G1693" s="1" t="s">
        <v>72</v>
      </c>
      <c r="H1693" s="1">
        <v>0.9973332</v>
      </c>
      <c r="I1693" s="1" t="s">
        <v>1067</v>
      </c>
    </row>
    <row r="1694">
      <c r="A1694" s="2" t="str">
        <f>HYPERLINK("https://ui.adsabs.harvard.edu/abs/2023Quant...7..891O/abstract","2023Quant...7..891O")</f>
        <v>2023Quant...7..891O</v>
      </c>
      <c r="E1694" s="2" t="str">
        <f>HYPERLINK("https://ui.adsabs.harvard.edu/abs/2020arXiv201106009O/abstract","2020arXiv201106009O")</f>
        <v>2020arXiv201106009O</v>
      </c>
      <c r="G1694" s="1" t="s">
        <v>72</v>
      </c>
      <c r="H1694" s="1">
        <v>0.9973332</v>
      </c>
      <c r="I1694" s="1" t="s">
        <v>1067</v>
      </c>
    </row>
    <row r="1695">
      <c r="A1695" s="2" t="str">
        <f>HYPERLINK("https://ui.adsabs.harvard.edu/abs/2023PhRvR...5a2004W/abstract","2023PhRvR...5a2004W")</f>
        <v>2023PhRvR...5a2004W</v>
      </c>
      <c r="E1695" s="2" t="str">
        <f>HYPERLINK("https://ui.adsabs.harvard.edu/abs/2019arXiv191206959W/abstract","2019arXiv191206959W")</f>
        <v>2019arXiv191206959W</v>
      </c>
      <c r="G1695" s="1" t="s">
        <v>72</v>
      </c>
      <c r="H1695" s="1">
        <v>0.9975332</v>
      </c>
      <c r="I1695" s="1" t="s">
        <v>1068</v>
      </c>
    </row>
    <row r="1696">
      <c r="A1696" s="2" t="str">
        <f>HYPERLINK("https://ui.adsabs.harvard.edu/abs/2020Quant...4..359B/abstract","2020Quant...4..359B")</f>
        <v>2020Quant...4..359B</v>
      </c>
      <c r="E1696" s="2" t="str">
        <f>HYPERLINK("https://ui.adsabs.harvard.edu/abs/2016arXiv160609331B/abstract","2016arXiv160609331B")</f>
        <v>2016arXiv160609331B</v>
      </c>
      <c r="G1696" s="1" t="s">
        <v>72</v>
      </c>
      <c r="H1696" s="1">
        <v>0.9977927</v>
      </c>
      <c r="I1696" s="1" t="s">
        <v>1069</v>
      </c>
    </row>
    <row r="1697">
      <c r="A1697" s="2" t="str">
        <f>HYPERLINK("https://ui.adsabs.harvard.edu/abs/2021Quant...5..595D/abstract","2021Quant...5..595D")</f>
        <v>2021Quant...5..595D</v>
      </c>
      <c r="E1697" s="2" t="str">
        <f>HYPERLINK("https://ui.adsabs.harvard.edu/abs/2017arXiv170906218D/abstract","2017arXiv170906218D")</f>
        <v>2017arXiv170906218D</v>
      </c>
      <c r="G1697" s="1" t="s">
        <v>72</v>
      </c>
      <c r="H1697" s="1">
        <v>0.9977927</v>
      </c>
      <c r="I1697" s="1" t="s">
        <v>1069</v>
      </c>
    </row>
    <row r="1698">
      <c r="A1698" s="2" t="str">
        <f>HYPERLINK("https://ui.adsabs.harvard.edu/abs/2022Quant...6..628J/abstract","2022Quant...6..628J")</f>
        <v>2022Quant...6..628J</v>
      </c>
      <c r="E1698" s="2" t="str">
        <f>HYPERLINK("https://ui.adsabs.harvard.edu/abs/2018arXiv181103147J/abstract","2018arXiv181103147J")</f>
        <v>2018arXiv181103147J</v>
      </c>
      <c r="G1698" s="1" t="s">
        <v>72</v>
      </c>
      <c r="H1698" s="1">
        <v>0.9977927</v>
      </c>
      <c r="I1698" s="1" t="s">
        <v>1069</v>
      </c>
    </row>
    <row r="1699">
      <c r="A1699" s="2" t="str">
        <f>HYPERLINK("https://ui.adsabs.harvard.edu/abs/2022Quant...6..755C/abstract","2022Quant...6..755C")</f>
        <v>2022Quant...6..755C</v>
      </c>
      <c r="E1699" s="2" t="str">
        <f>HYPERLINK("https://ui.adsabs.harvard.edu/abs/2018arXiv181112575C/abstract","2018arXiv181112575C")</f>
        <v>2018arXiv181112575C</v>
      </c>
      <c r="G1699" s="1" t="s">
        <v>72</v>
      </c>
      <c r="H1699" s="1">
        <v>0.9977927</v>
      </c>
      <c r="I1699" s="1" t="s">
        <v>1069</v>
      </c>
    </row>
    <row r="1700">
      <c r="A1700" s="2" t="str">
        <f>HYPERLINK("https://ui.adsabs.harvard.edu/abs/2023AnPhy.45069220F/abstract","2023AnPhy.45069220F")</f>
        <v>2023AnPhy.45069220F</v>
      </c>
      <c r="E1700" s="2" t="str">
        <f>HYPERLINK("https://ui.adsabs.harvard.edu/abs/2016arXiv161003941F/abstract","2016arXiv161003941F")</f>
        <v>2016arXiv161003941F</v>
      </c>
      <c r="G1700" s="1" t="s">
        <v>72</v>
      </c>
      <c r="H1700" s="1">
        <v>0.9980343</v>
      </c>
      <c r="I1700" s="1" t="s">
        <v>1070</v>
      </c>
    </row>
    <row r="1701">
      <c r="A1701" s="2" t="str">
        <f>HYPERLINK("https://ui.adsabs.harvard.edu/abs/2017Quant...1...41H/abstract","2017Quant...1...41H")</f>
        <v>2017Quant...1...41H</v>
      </c>
      <c r="E1701" s="2" t="str">
        <f>HYPERLINK("https://ui.adsabs.harvard.edu/abs/2000quant.ph.10048H/abstract","2000quant.ph.10048H")</f>
        <v>2000quant.ph.10048H</v>
      </c>
      <c r="G1701" s="1" t="s">
        <v>72</v>
      </c>
      <c r="H1701" s="1">
        <v>0.9980343</v>
      </c>
      <c r="I1701" s="1" t="s">
        <v>1070</v>
      </c>
    </row>
    <row r="1702">
      <c r="A1702" s="2" t="str">
        <f>HYPERLINK("https://ui.adsabs.harvard.edu/abs/2019Quant...3..158W/abstract","2019Quant...3..158W")</f>
        <v>2019Quant...3..158W</v>
      </c>
      <c r="E1702" s="2" t="str">
        <f>HYPERLINK("https://ui.adsabs.harvard.edu/abs/2012arXiv1206.2897W/abstract","2012arXiv1206.2897W")</f>
        <v>2012arXiv1206.2897W</v>
      </c>
      <c r="G1702" s="1" t="s">
        <v>72</v>
      </c>
      <c r="H1702" s="1">
        <v>0.9981731</v>
      </c>
      <c r="I1702" s="1" t="s">
        <v>1071</v>
      </c>
    </row>
    <row r="1703">
      <c r="A1703" s="2" t="str">
        <f>HYPERLINK("https://ui.adsabs.harvard.edu/abs/2022Quant...6..621R/abstract","2022Quant...6..621R")</f>
        <v>2022Quant...6..621R</v>
      </c>
      <c r="E1703" s="2" t="str">
        <f>HYPERLINK("https://ui.adsabs.harvard.edu/abs/2017arXiv171206884R/abstract","2017arXiv171206884R")</f>
        <v>2017arXiv171206884R</v>
      </c>
      <c r="G1703" s="1" t="s">
        <v>72</v>
      </c>
      <c r="H1703" s="1">
        <v>0.9981731</v>
      </c>
      <c r="I1703" s="1" t="s">
        <v>1071</v>
      </c>
    </row>
    <row r="1704">
      <c r="A1704" s="2" t="str">
        <f>HYPERLINK("https://ui.adsabs.harvard.edu/abs/2022Quant...6..668A/abstract","2022Quant...6..668A")</f>
        <v>2022Quant...6..668A</v>
      </c>
      <c r="E1704" s="2" t="str">
        <f>HYPERLINK("https://ui.adsabs.harvard.edu/abs/2008arXiv0810.4840A/abstract","2008arXiv0810.4840A")</f>
        <v>2008arXiv0810.4840A</v>
      </c>
      <c r="G1704" s="1" t="s">
        <v>72</v>
      </c>
      <c r="H1704" s="1">
        <v>0.9981731</v>
      </c>
      <c r="I1704" s="1" t="s">
        <v>1071</v>
      </c>
    </row>
    <row r="1705">
      <c r="A1705" s="2" t="str">
        <f>HYPERLINK("https://ui.adsabs.harvard.edu/abs/2022Quant...6..734G/abstract","2022Quant...6..734G")</f>
        <v>2022Quant...6..734G</v>
      </c>
      <c r="E1705" s="2" t="str">
        <f>HYPERLINK("https://ui.adsabs.harvard.edu/abs/2016arXiv160303999G/abstract","2016arXiv160303999G")</f>
        <v>2016arXiv160303999G</v>
      </c>
      <c r="G1705" s="1" t="s">
        <v>72</v>
      </c>
      <c r="H1705" s="1">
        <v>0.9981731</v>
      </c>
      <c r="I1705" s="1" t="s">
        <v>1071</v>
      </c>
    </row>
    <row r="1706">
      <c r="A1706" s="2" t="str">
        <f>HYPERLINK("https://ui.adsabs.harvard.edu/abs/2023Quant...7..901B/abstract","2023Quant...7..901B")</f>
        <v>2023Quant...7..901B</v>
      </c>
      <c r="E1706" s="2" t="str">
        <f>HYPERLINK("https://ui.adsabs.harvard.edu/abs/2016arXiv160909047B/abstract","2016arXiv160909047B")</f>
        <v>2016arXiv160909047B</v>
      </c>
      <c r="G1706" s="1" t="s">
        <v>72</v>
      </c>
      <c r="H1706" s="1">
        <v>0.9981731</v>
      </c>
      <c r="I1706" s="1" t="s">
        <v>1071</v>
      </c>
    </row>
    <row r="1707">
      <c r="A1707" s="2" t="str">
        <f>HYPERLINK("https://ui.adsabs.harvard.edu/abs/2022ISPL...29.2712S/abstract","2022ISPL...29.2712S")</f>
        <v>2022ISPL...29.2712S</v>
      </c>
      <c r="B1707" s="2" t="str">
        <f>HYPERLINK("https://ui.adsabs.harvard.edu/abs/2022arXiv221212218S/abstract","2022arXiv221212218S")</f>
        <v>2022arXiv221212218S</v>
      </c>
      <c r="C1707" s="1" t="s">
        <v>70</v>
      </c>
      <c r="E1707" s="2" t="str">
        <f>HYPERLINK("https://ui.adsabs.harvard.edu/abs/2022arXiv221212218S/abstract","2022arXiv221212218S")</f>
        <v>2022arXiv221212218S</v>
      </c>
      <c r="F1707" s="1" t="s">
        <v>1072</v>
      </c>
      <c r="G1707" s="1" t="s">
        <v>72</v>
      </c>
      <c r="H1707" s="1">
        <v>0.9986353</v>
      </c>
      <c r="I1707" s="1" t="s">
        <v>1073</v>
      </c>
    </row>
    <row r="1708">
      <c r="A1708" s="2" t="str">
        <f>HYPERLINK("https://ui.adsabs.harvard.edu/abs/2022BpJ...121..183B/abstract","2022BpJ...121..183B")</f>
        <v>2022BpJ...121..183B</v>
      </c>
      <c r="B1708" s="2" t="str">
        <f>HYPERLINK("https://ui.adsabs.harvard.edu/abs/2021arXiv210603928B/abstract","2021arXiv210603928B")</f>
        <v>2021arXiv210603928B</v>
      </c>
      <c r="C1708" s="1" t="s">
        <v>70</v>
      </c>
      <c r="E1708" s="2" t="str">
        <f>HYPERLINK("https://ui.adsabs.harvard.edu/abs/2021arXiv210603928B/abstract","2021arXiv210603928B")</f>
        <v>2021arXiv210603928B</v>
      </c>
      <c r="F1708" s="1" t="s">
        <v>1074</v>
      </c>
      <c r="G1708" s="1" t="s">
        <v>72</v>
      </c>
      <c r="H1708" s="1">
        <v>0.9987672</v>
      </c>
      <c r="I1708" s="1" t="s">
        <v>1075</v>
      </c>
    </row>
    <row r="1709">
      <c r="A1709" s="2" t="str">
        <f>HYPERLINK("https://ui.adsabs.harvard.edu/abs/2023ESC.....7..260E/abstract","2023ESC.....7..260E")</f>
        <v>2023ESC.....7..260E</v>
      </c>
      <c r="B1709" s="2" t="str">
        <f>HYPERLINK("https://ui.adsabs.harvard.edu/abs/2022arXiv221016921E/abstract","2022arXiv221016921E")</f>
        <v>2022arXiv221016921E</v>
      </c>
      <c r="C1709" s="1" t="s">
        <v>70</v>
      </c>
      <c r="E1709" s="2" t="str">
        <f>HYPERLINK("https://ui.adsabs.harvard.edu/abs/2022arXiv221016921E/abstract","2022arXiv221016921E")</f>
        <v>2022arXiv221016921E</v>
      </c>
      <c r="F1709" s="1" t="s">
        <v>1076</v>
      </c>
      <c r="G1709" s="1" t="s">
        <v>72</v>
      </c>
      <c r="H1709" s="1">
        <v>0.9987672</v>
      </c>
      <c r="I1709" s="1" t="s">
        <v>1075</v>
      </c>
    </row>
    <row r="1710">
      <c r="A1710" s="2" t="str">
        <f>HYPERLINK("https://ui.adsabs.harvard.edu/abs/2023ITAP...71..570S/abstract","2023ITAP...71..570S")</f>
        <v>2023ITAP...71..570S</v>
      </c>
      <c r="B1710" s="2" t="str">
        <f>HYPERLINK("https://ui.adsabs.harvard.edu/abs/2022arXiv220503240S/abstract","2022arXiv220503240S")</f>
        <v>2022arXiv220503240S</v>
      </c>
      <c r="C1710" s="1" t="s">
        <v>70</v>
      </c>
      <c r="E1710" s="2" t="str">
        <f>HYPERLINK("https://ui.adsabs.harvard.edu/abs/2022arXiv220503240S/abstract","2022arXiv220503240S")</f>
        <v>2022arXiv220503240S</v>
      </c>
      <c r="F1710" s="1" t="s">
        <v>1077</v>
      </c>
      <c r="G1710" s="1" t="s">
        <v>72</v>
      </c>
      <c r="H1710" s="1">
        <v>0.9987672</v>
      </c>
      <c r="I1710" s="1" t="s">
        <v>1075</v>
      </c>
    </row>
    <row r="1711">
      <c r="A1711" s="2" t="str">
        <f>HYPERLINK("https://ui.adsabs.harvard.edu/abs/2022ITSP...70.6232C/abstract","2022ITSP...70.6232C")</f>
        <v>2022ITSP...70.6232C</v>
      </c>
      <c r="C1711" s="1" t="s">
        <v>12</v>
      </c>
      <c r="E1711" s="2" t="str">
        <f>HYPERLINK("https://ui.adsabs.harvard.edu/abs/2023arXiv230100843C/abstract","2023arXiv230100843C")</f>
        <v>2023arXiv230100843C</v>
      </c>
      <c r="F1711" s="1" t="s">
        <v>1078</v>
      </c>
      <c r="G1711" s="1" t="s">
        <v>72</v>
      </c>
      <c r="H1711" s="1">
        <v>0.9987672</v>
      </c>
      <c r="I1711" s="1" t="s">
        <v>1075</v>
      </c>
    </row>
    <row r="1712">
      <c r="A1712" s="2" t="str">
        <f>HYPERLINK("https://ui.adsabs.harvard.edu/abs/2022AIHPC..39.1459F/abstract","2022AIHPC..39.1459F")</f>
        <v>2022AIHPC..39.1459F</v>
      </c>
      <c r="B1712" s="2" t="str">
        <f>HYPERLINK("https://ui.adsabs.harvard.edu/abs/2021arXiv210711608F/abstract","2021arXiv210711608F")</f>
        <v>2021arXiv210711608F</v>
      </c>
      <c r="C1712" s="1" t="s">
        <v>70</v>
      </c>
      <c r="E1712" s="2" t="str">
        <f>HYPERLINK("https://ui.adsabs.harvard.edu/abs/2021arXiv210711608F/abstract","2021arXiv210711608F")</f>
        <v>2021arXiv210711608F</v>
      </c>
      <c r="F1712" s="1" t="s">
        <v>1079</v>
      </c>
      <c r="G1712" s="1" t="s">
        <v>72</v>
      </c>
      <c r="H1712" s="1">
        <v>0.9988863</v>
      </c>
      <c r="I1712" s="1" t="s">
        <v>1080</v>
      </c>
    </row>
    <row r="1713">
      <c r="A1713" s="2" t="str">
        <f>HYPERLINK("https://ui.adsabs.harvard.edu/abs/2023CMAME.406k5875L/abstract","2023CMAME.406k5875L")</f>
        <v>2023CMAME.406k5875L</v>
      </c>
      <c r="B1713" s="2" t="str">
        <f>HYPERLINK("https://ui.adsabs.harvard.edu/abs/2022arXiv220705653L/abstract","2022arXiv220705653L")</f>
        <v>2022arXiv220705653L</v>
      </c>
      <c r="C1713" s="1" t="s">
        <v>70</v>
      </c>
      <c r="E1713" s="2" t="str">
        <f>HYPERLINK("https://ui.adsabs.harvard.edu/abs/2022arXiv220705653L/abstract","2022arXiv220705653L")</f>
        <v>2022arXiv220705653L</v>
      </c>
      <c r="F1713" s="1" t="s">
        <v>1081</v>
      </c>
      <c r="G1713" s="1" t="s">
        <v>72</v>
      </c>
      <c r="H1713" s="1">
        <v>0.9988863</v>
      </c>
      <c r="I1713" s="1" t="s">
        <v>1080</v>
      </c>
    </row>
    <row r="1714">
      <c r="A1714" s="2" t="str">
        <f>HYPERLINK("https://ui.adsabs.harvard.edu/abs/2023CMAME.406k5893B/abstract","2023CMAME.406k5893B")</f>
        <v>2023CMAME.406k5893B</v>
      </c>
      <c r="B1714" s="2" t="str">
        <f>HYPERLINK("https://ui.adsabs.harvard.edu/abs/2022arXiv220907826B/abstract","2022arXiv220907826B")</f>
        <v>2022arXiv220907826B</v>
      </c>
      <c r="C1714" s="1" t="s">
        <v>70</v>
      </c>
      <c r="E1714" s="2" t="str">
        <f>HYPERLINK("https://ui.adsabs.harvard.edu/abs/2022arXiv220907826B/abstract","2022arXiv220907826B")</f>
        <v>2022arXiv220907826B</v>
      </c>
      <c r="F1714" s="1" t="s">
        <v>1082</v>
      </c>
      <c r="G1714" s="1" t="s">
        <v>72</v>
      </c>
      <c r="H1714" s="1">
        <v>0.9988863</v>
      </c>
      <c r="I1714" s="1" t="s">
        <v>1080</v>
      </c>
    </row>
    <row r="1715">
      <c r="A1715" s="2" t="str">
        <f>HYPERLINK("https://ui.adsabs.harvard.edu/abs/2023ITAP...71..830C/abstract","2023ITAP...71..830C")</f>
        <v>2023ITAP...71..830C</v>
      </c>
      <c r="B1715" s="2" t="str">
        <f>HYPERLINK("https://ui.adsabs.harvard.edu/abs/2022arXiv220606783C/abstract","2022arXiv220606783C")</f>
        <v>2022arXiv220606783C</v>
      </c>
      <c r="C1715" s="1" t="s">
        <v>70</v>
      </c>
      <c r="E1715" s="2" t="str">
        <f>HYPERLINK("https://ui.adsabs.harvard.edu/abs/2022arXiv220606783C/abstract","2022arXiv220606783C")</f>
        <v>2022arXiv220606783C</v>
      </c>
      <c r="F1715" s="1" t="s">
        <v>1083</v>
      </c>
      <c r="G1715" s="1" t="s">
        <v>72</v>
      </c>
      <c r="H1715" s="1">
        <v>0.9988863</v>
      </c>
      <c r="I1715" s="1" t="s">
        <v>1080</v>
      </c>
    </row>
    <row r="1716">
      <c r="A1716" s="2" t="str">
        <f>HYPERLINK("https://ui.adsabs.harvard.edu/abs/2023ITNS...70...64B/abstract","2023ITNS...70...64B")</f>
        <v>2023ITNS...70...64B</v>
      </c>
      <c r="B1716" s="2" t="str">
        <f>HYPERLINK("https://ui.adsabs.harvard.edu/abs/2022arXiv220803321B/abstract","2022arXiv220803321B")</f>
        <v>2022arXiv220803321B</v>
      </c>
      <c r="C1716" s="1" t="s">
        <v>70</v>
      </c>
      <c r="E1716" s="2" t="str">
        <f>HYPERLINK("https://ui.adsabs.harvard.edu/abs/2022arXiv220803321B/abstract","2022arXiv220803321B")</f>
        <v>2022arXiv220803321B</v>
      </c>
      <c r="F1716" s="1" t="s">
        <v>1084</v>
      </c>
      <c r="G1716" s="1" t="s">
        <v>72</v>
      </c>
      <c r="H1716" s="1">
        <v>0.9988863</v>
      </c>
      <c r="I1716" s="1" t="s">
        <v>1080</v>
      </c>
    </row>
  </sheetData>
  <drawing r:id="rId2"/>
  <legacyDrawing r:id="rId3"/>
</worksheet>
</file>